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160" windowHeight="1245" firstSheet="2" activeTab="8"/>
  </bookViews>
  <sheets>
    <sheet name="Quick Calendar" sheetId="1" state="hidden" r:id="rId1"/>
    <sheet name="Table" sheetId="3" state="hidden" r:id="rId2"/>
    <sheet name="Winter 2017-18" sheetId="7" r:id="rId3"/>
    <sheet name="Sheet1" sheetId="4" state="hidden" r:id="rId4"/>
    <sheet name="Sheet2" sheetId="5" state="hidden" r:id="rId5"/>
    <sheet name="Standings" sheetId="9" r:id="rId6"/>
    <sheet name="New Scoresheet" sheetId="8" r:id="rId7"/>
    <sheet name="13 Nov Comp" sheetId="10" r:id="rId8"/>
    <sheet name="Sheet3" sheetId="11" r:id="rId9"/>
  </sheets>
  <calcPr calcId="145621"/>
  <pivotCaches>
    <pivotCache cacheId="30" r:id="rId10"/>
    <pivotCache cacheId="31" r:id="rId11"/>
    <pivotCache cacheId="32" r:id="rId12"/>
    <pivotCache cacheId="33" r:id="rId13"/>
  </pivotCaches>
</workbook>
</file>

<file path=xl/calcChain.xml><?xml version="1.0" encoding="utf-8"?>
<calcChain xmlns="http://schemas.openxmlformats.org/spreadsheetml/2006/main">
  <c r="N11" i="11" l="1"/>
  <c r="N10" i="11"/>
  <c r="N9" i="11"/>
  <c r="N8" i="11"/>
  <c r="N7" i="11"/>
  <c r="N6" i="11"/>
  <c r="N12" i="11" s="1"/>
  <c r="F5" i="11"/>
  <c r="G5" i="11" s="1"/>
  <c r="H5" i="11" s="1"/>
  <c r="I5" i="11" s="1"/>
  <c r="J5" i="11" s="1"/>
  <c r="K5" i="11" s="1"/>
  <c r="L5" i="11" s="1"/>
  <c r="M5" i="11" s="1"/>
  <c r="G7" i="9" l="1"/>
  <c r="I7" i="9"/>
  <c r="J7" i="9"/>
  <c r="I6" i="9"/>
  <c r="J6" i="9"/>
  <c r="G5" i="9"/>
  <c r="I5" i="9"/>
  <c r="J5" i="9"/>
  <c r="G9" i="9"/>
  <c r="I9" i="9"/>
  <c r="J9" i="9"/>
  <c r="G8" i="9"/>
  <c r="I8" i="9"/>
  <c r="J8" i="9"/>
  <c r="K8" i="9" s="1"/>
  <c r="G10" i="9"/>
  <c r="I10" i="9"/>
  <c r="J10" i="9"/>
  <c r="K10" i="9" l="1"/>
  <c r="K9" i="9"/>
  <c r="K6" i="9"/>
  <c r="K5" i="9"/>
  <c r="K7" i="9"/>
  <c r="H75" i="7" l="1"/>
  <c r="H76" i="7" l="1"/>
  <c r="H74" i="7"/>
  <c r="H73" i="7"/>
  <c r="H72" i="7"/>
  <c r="H71" i="7"/>
  <c r="F76" i="7"/>
  <c r="K76" i="7" s="1"/>
  <c r="F75" i="7"/>
  <c r="K75" i="7" s="1"/>
  <c r="F74" i="7"/>
  <c r="K74" i="7" s="1"/>
  <c r="F73" i="7"/>
  <c r="K73" i="7" s="1"/>
  <c r="F72" i="7"/>
  <c r="K72" i="7" s="1"/>
  <c r="D76" i="7"/>
  <c r="D75" i="7"/>
  <c r="D74" i="7"/>
  <c r="D73" i="7"/>
  <c r="D72" i="7"/>
  <c r="F71" i="7"/>
  <c r="K71" i="7" s="1"/>
  <c r="D71" i="7"/>
  <c r="N19" i="7"/>
  <c r="N18" i="7"/>
  <c r="N17" i="7"/>
  <c r="N16" i="7"/>
  <c r="N15" i="7"/>
  <c r="N14" i="7"/>
  <c r="N20" i="7" l="1"/>
  <c r="K100" i="7" l="1"/>
  <c r="L100" i="7"/>
  <c r="K99" i="7"/>
  <c r="L99" i="7"/>
  <c r="K98" i="7"/>
  <c r="L98" i="7"/>
  <c r="L92" i="7" l="1"/>
  <c r="L93" i="7"/>
  <c r="L94" i="7"/>
  <c r="L95" i="7"/>
  <c r="L96" i="7"/>
  <c r="L97" i="7"/>
  <c r="L87" i="7"/>
  <c r="L88" i="7"/>
  <c r="L89" i="7"/>
  <c r="L90" i="7"/>
  <c r="L91" i="7"/>
  <c r="L86" i="7"/>
  <c r="K87" i="7"/>
  <c r="K88" i="7"/>
  <c r="K89" i="7"/>
  <c r="K90" i="7"/>
  <c r="K91" i="7"/>
  <c r="K92" i="7"/>
  <c r="K93" i="7"/>
  <c r="K94" i="7"/>
  <c r="K95" i="7"/>
  <c r="K96" i="7"/>
  <c r="K97" i="7"/>
  <c r="K86" i="7"/>
  <c r="F7" i="9" l="1"/>
  <c r="F10" i="9"/>
  <c r="F8" i="9"/>
  <c r="F5" i="9"/>
  <c r="F6" i="9"/>
  <c r="F9" i="9"/>
  <c r="H6" i="9"/>
  <c r="H5" i="9"/>
  <c r="H8" i="9"/>
  <c r="H10" i="9"/>
  <c r="H7" i="9"/>
  <c r="H9" i="9"/>
  <c r="H126" i="7"/>
  <c r="H124" i="7"/>
  <c r="F126" i="7"/>
  <c r="K126" i="7" s="1"/>
  <c r="D126" i="7"/>
  <c r="F124" i="7"/>
  <c r="K124" i="7" s="1"/>
  <c r="D124" i="7"/>
  <c r="L8" i="9" l="1"/>
  <c r="E8" i="9"/>
  <c r="E9" i="9"/>
  <c r="L9" i="9"/>
  <c r="E10" i="9"/>
  <c r="L10" i="9"/>
  <c r="L5" i="9"/>
  <c r="E5" i="9"/>
  <c r="L6" i="9"/>
  <c r="E6" i="9"/>
  <c r="E7" i="9"/>
  <c r="L7" i="9"/>
  <c r="M10" i="7"/>
  <c r="M9" i="7"/>
  <c r="M8" i="7"/>
  <c r="M7" i="7"/>
  <c r="M6" i="7"/>
  <c r="M5" i="7"/>
  <c r="E13" i="7"/>
  <c r="F13" i="7" s="1"/>
  <c r="G13" i="7" s="1"/>
  <c r="H13" i="7" s="1"/>
  <c r="I13" i="7" s="1"/>
  <c r="J13" i="7" s="1"/>
  <c r="K13" i="7" s="1"/>
  <c r="L13" i="7" s="1"/>
  <c r="M13" i="7" s="1"/>
  <c r="M11" i="7" l="1"/>
  <c r="E4" i="7" l="1"/>
  <c r="F4" i="7" s="1"/>
  <c r="G4" i="7" s="1"/>
  <c r="H4" i="7" s="1"/>
  <c r="I4" i="7" s="1"/>
  <c r="J4" i="7" s="1"/>
  <c r="K4" i="7" s="1"/>
  <c r="L4" i="7" s="1"/>
  <c r="H125" i="7" l="1"/>
  <c r="H123" i="7"/>
  <c r="F125" i="7"/>
  <c r="K125" i="7" s="1"/>
  <c r="F123" i="7"/>
  <c r="K123" i="7" s="1"/>
  <c r="D125" i="7"/>
  <c r="D123" i="7"/>
  <c r="H127" i="7"/>
  <c r="F127" i="7"/>
  <c r="K127" i="7" s="1"/>
  <c r="D127" i="7"/>
  <c r="H122" i="7"/>
  <c r="F122" i="7"/>
  <c r="K122" i="7" s="1"/>
  <c r="D122" i="7"/>
  <c r="V68" i="5" l="1"/>
  <c r="T68" i="5"/>
  <c r="R68" i="5"/>
  <c r="V67" i="5"/>
  <c r="T67" i="5"/>
  <c r="R67" i="5"/>
  <c r="V66" i="5"/>
  <c r="T66" i="5"/>
  <c r="R66" i="5"/>
  <c r="V65" i="5"/>
  <c r="T65" i="5"/>
  <c r="R65" i="5"/>
  <c r="V64" i="5"/>
  <c r="T64" i="5"/>
  <c r="R64" i="5"/>
  <c r="V63" i="5"/>
  <c r="T63" i="5"/>
  <c r="R63" i="5"/>
  <c r="V62" i="5"/>
  <c r="T62" i="5"/>
  <c r="R62" i="5"/>
  <c r="V61" i="5"/>
  <c r="T61" i="5"/>
  <c r="R61" i="5"/>
  <c r="V60" i="5"/>
  <c r="T60" i="5"/>
  <c r="R60" i="5"/>
  <c r="I53" i="5"/>
  <c r="H53" i="5"/>
  <c r="F53" i="5"/>
  <c r="D53" i="5"/>
  <c r="N52" i="5"/>
  <c r="I52" i="5"/>
  <c r="H52" i="5"/>
  <c r="F52" i="5"/>
  <c r="D52" i="5"/>
  <c r="N51" i="5"/>
  <c r="I51" i="5"/>
  <c r="H51" i="5"/>
  <c r="F51" i="5"/>
  <c r="D51" i="5"/>
  <c r="N50" i="5"/>
  <c r="I50" i="5"/>
  <c r="H50" i="5"/>
  <c r="F50" i="5"/>
  <c r="D50" i="5"/>
  <c r="N49" i="5"/>
  <c r="I49" i="5"/>
  <c r="H49" i="5"/>
  <c r="F49" i="5"/>
  <c r="D49" i="5"/>
  <c r="I48" i="5"/>
  <c r="H48" i="5"/>
  <c r="F48" i="5"/>
  <c r="D48" i="5"/>
  <c r="W9" i="5"/>
  <c r="X9" i="5" s="1"/>
  <c r="W8" i="5"/>
  <c r="X8" i="5" s="1"/>
  <c r="W7" i="5"/>
  <c r="X7" i="5" s="1"/>
  <c r="W6" i="5"/>
  <c r="X6" i="5" s="1"/>
  <c r="W5" i="5"/>
  <c r="X5" i="5" s="1"/>
  <c r="W4" i="5"/>
  <c r="X4" i="5" s="1"/>
  <c r="F3" i="5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V68" i="4" l="1"/>
  <c r="T68" i="4"/>
  <c r="R68" i="4"/>
  <c r="V67" i="4"/>
  <c r="T67" i="4"/>
  <c r="R67" i="4"/>
  <c r="V66" i="4"/>
  <c r="T66" i="4"/>
  <c r="R66" i="4"/>
  <c r="V65" i="4"/>
  <c r="T65" i="4"/>
  <c r="R65" i="4"/>
  <c r="V64" i="4"/>
  <c r="T64" i="4"/>
  <c r="R64" i="4"/>
  <c r="V63" i="4"/>
  <c r="T63" i="4"/>
  <c r="R63" i="4"/>
  <c r="V62" i="4"/>
  <c r="T62" i="4"/>
  <c r="R62" i="4"/>
  <c r="V61" i="4"/>
  <c r="T61" i="4"/>
  <c r="R61" i="4"/>
  <c r="V60" i="4"/>
  <c r="T60" i="4"/>
  <c r="R60" i="4"/>
  <c r="I53" i="4"/>
  <c r="H53" i="4"/>
  <c r="F53" i="4"/>
  <c r="D53" i="4"/>
  <c r="N52" i="4"/>
  <c r="I52" i="4"/>
  <c r="H52" i="4"/>
  <c r="F52" i="4"/>
  <c r="D52" i="4"/>
  <c r="N51" i="4"/>
  <c r="I51" i="4"/>
  <c r="H51" i="4"/>
  <c r="F51" i="4"/>
  <c r="D51" i="4"/>
  <c r="N50" i="4"/>
  <c r="I50" i="4"/>
  <c r="H50" i="4"/>
  <c r="F50" i="4"/>
  <c r="D50" i="4"/>
  <c r="N49" i="4"/>
  <c r="I49" i="4"/>
  <c r="H49" i="4"/>
  <c r="F49" i="4"/>
  <c r="D49" i="4"/>
  <c r="I48" i="4"/>
  <c r="H48" i="4"/>
  <c r="F48" i="4"/>
  <c r="D48" i="4"/>
  <c r="W9" i="4"/>
  <c r="X9" i="4" s="1"/>
  <c r="W8" i="4"/>
  <c r="X8" i="4" s="1"/>
  <c r="W7" i="4"/>
  <c r="X7" i="4" s="1"/>
  <c r="W6" i="4"/>
  <c r="X6" i="4" s="1"/>
  <c r="W5" i="4"/>
  <c r="X5" i="4" s="1"/>
  <c r="W4" i="4"/>
  <c r="X4" i="4" s="1"/>
  <c r="F3" i="4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Q8" i="3"/>
  <c r="Q7" i="3"/>
  <c r="Q5" i="3"/>
  <c r="Q9" i="3"/>
  <c r="Q6" i="3"/>
  <c r="E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13" i="3"/>
  <c r="Q4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L14" i="3"/>
  <c r="L15" i="3"/>
  <c r="L16" i="3"/>
  <c r="L17" i="3"/>
  <c r="L18" i="3"/>
  <c r="L13" i="3"/>
  <c r="E14" i="3"/>
  <c r="E15" i="3"/>
  <c r="E16" i="3"/>
  <c r="E17" i="3"/>
  <c r="E18" i="3"/>
  <c r="M4" i="3"/>
  <c r="H9" i="3"/>
  <c r="N7" i="3"/>
  <c r="M9" i="3"/>
  <c r="G6" i="3"/>
  <c r="G5" i="3"/>
  <c r="G8" i="3"/>
  <c r="M6" i="3"/>
  <c r="M8" i="3"/>
  <c r="H5" i="3"/>
  <c r="N8" i="3"/>
  <c r="G7" i="3"/>
  <c r="N6" i="3"/>
  <c r="H6" i="3"/>
  <c r="N5" i="3"/>
  <c r="G9" i="3"/>
  <c r="N4" i="3"/>
  <c r="H8" i="3"/>
  <c r="M5" i="3"/>
  <c r="H7" i="3"/>
  <c r="M7" i="3"/>
  <c r="N9" i="3"/>
  <c r="G4" i="3"/>
  <c r="H4" i="3"/>
  <c r="I9" i="3" l="1"/>
  <c r="O4" i="3"/>
  <c r="O8" i="3"/>
  <c r="O7" i="3"/>
  <c r="O5" i="3"/>
  <c r="O9" i="3"/>
  <c r="I7" i="3"/>
  <c r="I4" i="3"/>
  <c r="P4" i="3" s="1"/>
  <c r="O6" i="3"/>
  <c r="I8" i="3"/>
  <c r="I5" i="3"/>
  <c r="I6" i="3"/>
  <c r="P6" i="3" s="1"/>
  <c r="P8" i="3" l="1"/>
  <c r="P5" i="3"/>
  <c r="P7" i="3"/>
  <c r="P9" i="3"/>
  <c r="M8" i="9" l="1"/>
  <c r="M7" i="9"/>
  <c r="M5" i="9"/>
  <c r="M9" i="9"/>
  <c r="M6" i="9"/>
  <c r="M10" i="9"/>
</calcChain>
</file>

<file path=xl/sharedStrings.xml><?xml version="1.0" encoding="utf-8"?>
<sst xmlns="http://schemas.openxmlformats.org/spreadsheetml/2006/main" count="2051" uniqueCount="174">
  <si>
    <t>Brewers</t>
  </si>
  <si>
    <t>Tigers</t>
  </si>
  <si>
    <t>Redbacks</t>
  </si>
  <si>
    <t>Cobras</t>
  </si>
  <si>
    <t>Rebels</t>
  </si>
  <si>
    <t>Pyros</t>
  </si>
  <si>
    <t>Royals</t>
  </si>
  <si>
    <t>Cougars</t>
  </si>
  <si>
    <t>OCT</t>
  </si>
  <si>
    <t xml:space="preserve">Each week 1 x team will be responsible for bringing </t>
  </si>
  <si>
    <t>the kit for the evening which will include:</t>
  </si>
  <si>
    <t>Team</t>
  </si>
  <si>
    <t>Wks Played</t>
  </si>
  <si>
    <t>Payment</t>
  </si>
  <si>
    <t>Bases (x 3)</t>
  </si>
  <si>
    <t>Off</t>
  </si>
  <si>
    <t>Safety Base (x1)</t>
  </si>
  <si>
    <t>Swingers</t>
  </si>
  <si>
    <t>Home Plate (x1)</t>
  </si>
  <si>
    <t>Match Balls</t>
  </si>
  <si>
    <t>Warm-Up Balls</t>
  </si>
  <si>
    <t>B Widows</t>
  </si>
  <si>
    <t>Stopwatch (x1)</t>
  </si>
  <si>
    <t>Score-sheets</t>
  </si>
  <si>
    <t>EM Dev</t>
  </si>
  <si>
    <t>Time</t>
  </si>
  <si>
    <t>Home</t>
  </si>
  <si>
    <t>H Score</t>
  </si>
  <si>
    <t>Away</t>
  </si>
  <si>
    <t>A Score</t>
  </si>
  <si>
    <t>Umpire</t>
  </si>
  <si>
    <t>Bring Bases</t>
  </si>
  <si>
    <t>Take Bases</t>
  </si>
  <si>
    <t>Play/Ump</t>
  </si>
  <si>
    <t>Scorer</t>
  </si>
  <si>
    <t>Y</t>
  </si>
  <si>
    <t>NOV</t>
  </si>
  <si>
    <t>DEC</t>
  </si>
  <si>
    <t>JAN</t>
  </si>
  <si>
    <t>FEB</t>
  </si>
  <si>
    <t>MAR</t>
  </si>
  <si>
    <t>Playing</t>
  </si>
  <si>
    <t>Bring Equip't</t>
  </si>
  <si>
    <t>Take Equip't</t>
  </si>
  <si>
    <t>10 Wks x 3 Games (10:30am-1:30pm) @ £30 per week                                                                                    £150  before Christmas &amp; £150  after Christmas</t>
  </si>
  <si>
    <t>Position</t>
  </si>
  <si>
    <t>Played</t>
  </si>
  <si>
    <t>Win</t>
  </si>
  <si>
    <t xml:space="preserve">Loss </t>
  </si>
  <si>
    <t>Tie</t>
  </si>
  <si>
    <t>For</t>
  </si>
  <si>
    <t>Against</t>
  </si>
  <si>
    <t>+/-</t>
  </si>
  <si>
    <t>Points</t>
  </si>
  <si>
    <t>Home Scores</t>
  </si>
  <si>
    <t>Away Scores</t>
  </si>
  <si>
    <t>HOME</t>
  </si>
  <si>
    <t>Double Booking - games to move to 12:30-15:30</t>
  </si>
  <si>
    <t>New Date (moved from Feb 3)</t>
  </si>
  <si>
    <t>New Date (moved from Mar 17)</t>
  </si>
  <si>
    <t>Moved</t>
  </si>
  <si>
    <t>NO GAMES</t>
  </si>
  <si>
    <r>
      <t xml:space="preserve">EAST MIDLANDS SOFTBALL LEAGUE - WINTER INDOOR LEAGUE 2012 </t>
    </r>
    <r>
      <rPr>
        <b/>
        <u/>
        <sz val="18"/>
        <color indexed="10"/>
        <rFont val="Calibri"/>
        <family val="2"/>
      </rPr>
      <t>v.2</t>
    </r>
  </si>
  <si>
    <t>Double Booking - moved to Jan 27</t>
  </si>
  <si>
    <t>Double Booking - moved to Mar 10</t>
  </si>
  <si>
    <t>AWAY</t>
  </si>
  <si>
    <t>Home Team</t>
  </si>
  <si>
    <t>Home Sc</t>
  </si>
  <si>
    <t>Away Team</t>
  </si>
  <si>
    <t>Away Sc</t>
  </si>
  <si>
    <t>Row Labels</t>
  </si>
  <si>
    <t>Grand Total</t>
  </si>
  <si>
    <t>Sum of Home Sc</t>
  </si>
  <si>
    <t>Values</t>
  </si>
  <si>
    <t>Sum of Away Sc</t>
  </si>
  <si>
    <t>Home Pts</t>
  </si>
  <si>
    <t>A</t>
  </si>
  <si>
    <t>Away Pts</t>
  </si>
  <si>
    <t>Count of Home Pts</t>
  </si>
  <si>
    <t>Count of Away Pts</t>
  </si>
  <si>
    <t>Sum of Home Pts</t>
  </si>
  <si>
    <t>Sum of Away Pts</t>
  </si>
  <si>
    <t>Total +/-</t>
  </si>
  <si>
    <t>F</t>
  </si>
  <si>
    <t>Loss</t>
  </si>
  <si>
    <t>Win %</t>
  </si>
  <si>
    <t>ONE OFF COMP</t>
  </si>
  <si>
    <t xml:space="preserve">GAME: </t>
  </si>
  <si>
    <t xml:space="preserve">v.  </t>
  </si>
  <si>
    <t>DATE:</t>
  </si>
  <si>
    <t xml:space="preserve">Batting Points Scored </t>
  </si>
  <si>
    <t>Outs</t>
  </si>
  <si>
    <t>1st Inning</t>
  </si>
  <si>
    <t>1st Inn Score</t>
  </si>
  <si>
    <t>1st Inn Outs</t>
  </si>
  <si>
    <t>Batting Points Scored</t>
  </si>
  <si>
    <t>2nd Inning</t>
  </si>
  <si>
    <t>2nd Inn Score</t>
  </si>
  <si>
    <t>2nd Inn Outs</t>
  </si>
  <si>
    <t>Total Scored</t>
  </si>
  <si>
    <t>Total Outs</t>
  </si>
  <si>
    <t>TOTAL SCORE:</t>
  </si>
  <si>
    <t>Less: Total Outs</t>
  </si>
  <si>
    <t>Gross Score</t>
  </si>
  <si>
    <t>Plus: Handicap</t>
  </si>
  <si>
    <t>Score</t>
  </si>
  <si>
    <t>X</t>
  </si>
  <si>
    <t>Umpire &amp; Mark</t>
  </si>
  <si>
    <t>L'borough</t>
  </si>
  <si>
    <t>Cubs</t>
  </si>
  <si>
    <t>Won</t>
  </si>
  <si>
    <t>Drawn</t>
  </si>
  <si>
    <t>Lost</t>
  </si>
  <si>
    <t xml:space="preserve">Pyros  </t>
  </si>
  <si>
    <t>Pyros Jnrs</t>
  </si>
  <si>
    <t>Py Jnrs</t>
  </si>
  <si>
    <t>L'Boro</t>
  </si>
  <si>
    <t>Pyros Jnr</t>
  </si>
  <si>
    <t>AWAY TEAM:</t>
  </si>
  <si>
    <t>HOME TEAM:</t>
  </si>
  <si>
    <t>x</t>
  </si>
  <si>
    <t>Xmas Tourney</t>
  </si>
  <si>
    <t xml:space="preserve">x </t>
  </si>
  <si>
    <t>L'boro</t>
  </si>
  <si>
    <t>Teams Not Playing</t>
  </si>
  <si>
    <t>Thunder</t>
  </si>
  <si>
    <t>Swans</t>
  </si>
  <si>
    <t>Arrows</t>
  </si>
  <si>
    <t>Home Team:</t>
  </si>
  <si>
    <t>Decided by Toss of a Coin</t>
  </si>
  <si>
    <t>3 for a Win, 1 for a Tie, 0 for a loss</t>
  </si>
  <si>
    <t>If Winner is Tied:</t>
  </si>
  <si>
    <t>If still no winner then a relay race between teams (5 players - minimum 2 female)</t>
  </si>
  <si>
    <t>Goes on Head-to-Head, then Points Against (Just In Tied Teams' Games).</t>
  </si>
  <si>
    <t>INDOOR COMP - SUNDAY 13 NOVEMBER 2016</t>
  </si>
  <si>
    <t>2016 HR Rule:</t>
  </si>
  <si>
    <t xml:space="preserve">An automatic HR is scored when the batter hits the ball directly on to the back wall </t>
  </si>
  <si>
    <t>The batting side score 3 points for the batter + 1 point for every runner on base</t>
  </si>
  <si>
    <t>The batter &amp; runners can run directly to line-up area once signalled by umpire</t>
  </si>
  <si>
    <t>The ball remains LIVE and can be caught by fielding team (-1 point against batting team)</t>
  </si>
  <si>
    <t>Once ball is caught or touches the ground it is DEAD</t>
  </si>
  <si>
    <t>Scoring:</t>
  </si>
  <si>
    <t>1 point for every base achieved on batter's hit (but only if not out in that play)</t>
  </si>
  <si>
    <t>1 point for every runner to pass home (therefore 4 points + 1 for a run, Home Run = 5)</t>
  </si>
  <si>
    <t>1 point deducted for an out by fielding team</t>
  </si>
  <si>
    <t>Points for Games:</t>
  </si>
  <si>
    <t>Diff</t>
  </si>
  <si>
    <t>EMSL Indoor League 2016/17</t>
  </si>
  <si>
    <t>All</t>
  </si>
  <si>
    <t>1ST HALF RESULTS</t>
  </si>
  <si>
    <t>Column Labels</t>
  </si>
  <si>
    <t>Count of HOME</t>
  </si>
  <si>
    <t>2nd Half Home Game Allocation</t>
  </si>
  <si>
    <t>1st Half Home Game Allocation</t>
  </si>
  <si>
    <t>#</t>
  </si>
  <si>
    <t>Updated with games played on 26/2/17</t>
  </si>
  <si>
    <t>Final Standings after 12/3/17 games</t>
  </si>
  <si>
    <t>All Stars</t>
  </si>
  <si>
    <t>1 &amp; 3</t>
  </si>
  <si>
    <t>4 &amp; 6</t>
  </si>
  <si>
    <t>2 &amp; 6</t>
  </si>
  <si>
    <t>Spring Tourney</t>
  </si>
  <si>
    <t>Hall Not Available</t>
  </si>
  <si>
    <t>Game 6</t>
  </si>
  <si>
    <t>Game 7</t>
  </si>
  <si>
    <t>Game 8</t>
  </si>
  <si>
    <t>Game 9</t>
  </si>
  <si>
    <t>2 &amp; 3</t>
  </si>
  <si>
    <t>1 &amp; 4</t>
  </si>
  <si>
    <t xml:space="preserve"> 2 &amp; 5</t>
  </si>
  <si>
    <t>5 &amp; 6</t>
  </si>
  <si>
    <t>Not Available</t>
  </si>
  <si>
    <t>EAST MIDLANDS SOFTBALL LEAGUE - WINTER INDOOR LEAGUE 2017/18</t>
  </si>
  <si>
    <t>Not Playing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</si>
</sst>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8"/>
      <color indexed="1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8"/>
      <color rgb="FF333333"/>
      <name val="Tahoma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0" tint="-0.249977111117893"/>
      <name val="Arial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16" fontId="0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16" fontId="2" fillId="0" borderId="7" xfId="0" applyNumberFormat="1" applyFont="1" applyBorder="1" applyAlignment="1">
      <alignment horizontal="center"/>
    </xf>
    <xf numFmtId="20" fontId="11" fillId="0" borderId="8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16" fontId="2" fillId="0" borderId="11" xfId="0" applyNumberFormat="1" applyFont="1" applyBorder="1" applyAlignment="1">
      <alignment horizontal="center"/>
    </xf>
    <xf numFmtId="20" fontId="11" fillId="0" borderId="12" xfId="0" applyNumberFormat="1" applyFont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16" fontId="2" fillId="0" borderId="15" xfId="0" applyNumberFormat="1" applyFont="1" applyBorder="1" applyAlignment="1">
      <alignment horizontal="center"/>
    </xf>
    <xf numFmtId="20" fontId="11" fillId="0" borderId="16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16" fontId="2" fillId="0" borderId="18" xfId="0" applyNumberFormat="1" applyFont="1" applyBorder="1" applyAlignment="1">
      <alignment horizontal="center"/>
    </xf>
    <xf numFmtId="20" fontId="11" fillId="0" borderId="19" xfId="0" applyNumberFormat="1" applyFont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0" fontId="7" fillId="0" borderId="16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16" fontId="0" fillId="0" borderId="7" xfId="0" applyNumberFormat="1" applyBorder="1" applyAlignment="1">
      <alignment horizontal="center"/>
    </xf>
    <xf numFmtId="16" fontId="11" fillId="0" borderId="2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0" fillId="0" borderId="15" xfId="0" applyNumberFormat="1" applyBorder="1" applyAlignment="1">
      <alignment horizontal="center"/>
    </xf>
    <xf numFmtId="16" fontId="11" fillId="0" borderId="26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16" fontId="11" fillId="0" borderId="29" xfId="0" applyNumberFormat="1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3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16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6" xfId="0" applyFont="1" applyBorder="1" applyAlignment="1"/>
    <xf numFmtId="0" fontId="2" fillId="0" borderId="36" xfId="0" applyFont="1" applyBorder="1" applyAlignment="1">
      <alignment horizontal="center" vertical="center"/>
    </xf>
    <xf numFmtId="0" fontId="2" fillId="0" borderId="36" xfId="0" quotePrefix="1" applyFont="1" applyBorder="1" applyAlignment="1">
      <alignment horizontal="center"/>
    </xf>
    <xf numFmtId="0" fontId="1" fillId="0" borderId="26" xfId="0" applyFont="1" applyBorder="1" applyAlignment="1"/>
    <xf numFmtId="0" fontId="1" fillId="0" borderId="26" xfId="0" applyFont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pivotButton="1"/>
    <xf numFmtId="0" fontId="0" fillId="0" borderId="0" xfId="0" applyNumberFormat="1"/>
    <xf numFmtId="0" fontId="0" fillId="0" borderId="0" xfId="0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16" fillId="0" borderId="37" xfId="0" applyFont="1" applyBorder="1" applyAlignment="1">
      <alignment vertical="center"/>
    </xf>
    <xf numFmtId="0" fontId="16" fillId="0" borderId="38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1" xfId="0" applyFont="1" applyBorder="1" applyAlignment="1">
      <alignment horizontal="center" vertical="center"/>
    </xf>
    <xf numFmtId="0" fontId="16" fillId="0" borderId="41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16" fillId="0" borderId="43" xfId="0" applyFont="1" applyBorder="1" applyAlignment="1">
      <alignment vertical="center"/>
    </xf>
    <xf numFmtId="0" fontId="16" fillId="0" borderId="46" xfId="0" applyFont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0" fontId="16" fillId="0" borderId="50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16" fontId="15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5" borderId="3" xfId="0" applyFont="1" applyFill="1" applyBorder="1" applyAlignment="1">
      <alignment horizontal="center" vertical="center" wrapText="1"/>
    </xf>
    <xf numFmtId="16" fontId="11" fillId="0" borderId="8" xfId="0" applyNumberFormat="1" applyFont="1" applyBorder="1" applyAlignment="1">
      <alignment horizontal="center"/>
    </xf>
    <xf numFmtId="16" fontId="11" fillId="0" borderId="16" xfId="0" applyNumberFormat="1" applyFont="1" applyBorder="1" applyAlignment="1">
      <alignment horizontal="center"/>
    </xf>
    <xf numFmtId="16" fontId="11" fillId="0" borderId="1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6" fontId="15" fillId="5" borderId="3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16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0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20" fontId="11" fillId="0" borderId="24" xfId="0" applyNumberFormat="1" applyFont="1" applyBorder="1" applyAlignment="1">
      <alignment horizontal="center"/>
    </xf>
    <xf numFmtId="20" fontId="11" fillId="0" borderId="2" xfId="0" applyNumberFormat="1" applyFont="1" applyBorder="1" applyAlignment="1">
      <alignment horizontal="center"/>
    </xf>
    <xf numFmtId="20" fontId="11" fillId="0" borderId="26" xfId="0" applyNumberFormat="1" applyFont="1" applyBorder="1" applyAlignment="1">
      <alignment horizontal="center"/>
    </xf>
    <xf numFmtId="20" fontId="11" fillId="0" borderId="29" xfId="0" applyNumberFormat="1" applyFont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6" fontId="15" fillId="7" borderId="3" xfId="0" applyNumberFormat="1" applyFont="1" applyFill="1" applyBorder="1" applyAlignment="1">
      <alignment horizontal="center"/>
    </xf>
    <xf numFmtId="16" fontId="15" fillId="3" borderId="3" xfId="0" applyNumberFormat="1" applyFont="1" applyFill="1" applyBorder="1" applyAlignment="1">
      <alignment horizontal="center"/>
    </xf>
    <xf numFmtId="0" fontId="15" fillId="0" borderId="51" xfId="0" applyFont="1" applyFill="1" applyBorder="1" applyAlignment="1">
      <alignment horizontal="center" vertical="center" wrapText="1"/>
    </xf>
    <xf numFmtId="49" fontId="15" fillId="0" borderId="31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49" fontId="15" fillId="0" borderId="3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0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2" fillId="0" borderId="0" xfId="0" applyFont="1"/>
    <xf numFmtId="0" fontId="12" fillId="0" borderId="0" xfId="0" applyFont="1"/>
    <xf numFmtId="0" fontId="17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3" fillId="0" borderId="0" xfId="0" applyFont="1" applyAlignme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1" fillId="0" borderId="13" xfId="0" applyFont="1" applyFill="1" applyBorder="1" applyAlignment="1">
      <alignment horizontal="center"/>
    </xf>
    <xf numFmtId="16" fontId="2" fillId="0" borderId="41" xfId="0" applyNumberFormat="1" applyFont="1" applyBorder="1" applyAlignment="1">
      <alignment horizontal="center"/>
    </xf>
    <xf numFmtId="20" fontId="11" fillId="0" borderId="41" xfId="0" applyNumberFormat="1" applyFont="1" applyBorder="1" applyAlignment="1">
      <alignment horizontal="center"/>
    </xf>
    <xf numFmtId="0" fontId="12" fillId="0" borderId="41" xfId="0" applyFont="1" applyFill="1" applyBorder="1" applyAlignment="1">
      <alignment horizontal="center"/>
    </xf>
    <xf numFmtId="0" fontId="18" fillId="0" borderId="41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2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quotePrefix="1" applyFont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3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16" fontId="15" fillId="0" borderId="22" xfId="0" applyNumberFormat="1" applyFont="1" applyFill="1" applyBorder="1" applyAlignment="1">
      <alignment horizontal="center" vertical="center" wrapText="1"/>
    </xf>
    <xf numFmtId="16" fontId="15" fillId="0" borderId="31" xfId="0" applyNumberFormat="1" applyFont="1" applyFill="1" applyBorder="1" applyAlignment="1">
      <alignment horizontal="center" vertical="center" wrapText="1"/>
    </xf>
    <xf numFmtId="16" fontId="15" fillId="0" borderId="13" xfId="0" applyNumberFormat="1" applyFont="1" applyFill="1" applyBorder="1" applyAlignment="1">
      <alignment horizontal="center" vertical="center" wrapText="1"/>
    </xf>
    <xf numFmtId="16" fontId="23" fillId="6" borderId="22" xfId="0" applyNumberFormat="1" applyFont="1" applyFill="1" applyBorder="1" applyAlignment="1">
      <alignment horizontal="center" vertical="center" wrapText="1"/>
    </xf>
    <xf numFmtId="16" fontId="23" fillId="6" borderId="31" xfId="0" applyNumberFormat="1" applyFont="1" applyFill="1" applyBorder="1" applyAlignment="1">
      <alignment horizontal="center" vertical="center" wrapText="1"/>
    </xf>
    <xf numFmtId="16" fontId="23" fillId="6" borderId="13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</cellXfs>
  <cellStyles count="1">
    <cellStyle name="Normal" xfId="0" builtinId="0"/>
  </cellStyles>
  <dxfs count="13">
    <dxf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vey Pryor" refreshedDate="42753.329330208333" createdVersion="3" refreshedVersion="4" minRefreshableVersion="3" recordCount="36">
  <cacheSource type="worksheet">
    <worksheetSource ref="A12:F48" sheet="Table"/>
  </cacheSource>
  <cacheFields count="6">
    <cacheField name="Home Team" numFmtId="0">
      <sharedItems count="6">
        <s v="Brewers"/>
        <s v="Rebels"/>
        <s v="Cobras"/>
        <s v="Tigers"/>
        <s v="Pyros"/>
        <s v="Redbacks"/>
      </sharedItems>
    </cacheField>
    <cacheField name="Home Sc" numFmtId="0">
      <sharedItems containsString="0" containsBlank="1" containsNumber="1" containsInteger="1" minValue="37" maxValue="91"/>
    </cacheField>
    <cacheField name="Away Team" numFmtId="0">
      <sharedItems count="6">
        <s v="Rebels"/>
        <s v="Tigers"/>
        <s v="Brewers"/>
        <s v="Cobras"/>
        <s v="Redbacks"/>
        <s v="Pyros"/>
      </sharedItems>
    </cacheField>
    <cacheField name="Away Sc" numFmtId="0">
      <sharedItems containsString="0" containsBlank="1" containsNumber="1" containsInteger="1" minValue="29" maxValue="102"/>
    </cacheField>
    <cacheField name="Home Pts" numFmtId="0">
      <sharedItems containsString="0" containsBlank="1" containsNumber="1" containsInteger="1" minValue="0" maxValue="3"/>
    </cacheField>
    <cacheField name="Away Pts" numFmtId="0">
      <sharedItems containsString="0" containsBlank="1" containsNumber="1" containsInteger="1" minValue="0" maxValue="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arvey Pryor" refreshedDate="42753.329330671295" createdVersion="3" refreshedVersion="4" minRefreshableVersion="3" recordCount="36">
  <cacheSource type="worksheet">
    <worksheetSource ref="A12:D48" sheet="Table"/>
  </cacheSource>
  <cacheFields count="4">
    <cacheField name="Home Team" numFmtId="0">
      <sharedItems count="6">
        <s v="Brewers"/>
        <s v="Rebels"/>
        <s v="Cobras"/>
        <s v="Tigers"/>
        <s v="Pyros"/>
        <s v="Redbacks"/>
      </sharedItems>
    </cacheField>
    <cacheField name="Home Sc" numFmtId="0">
      <sharedItems containsString="0" containsBlank="1" containsNumber="1" containsInteger="1" minValue="37" maxValue="91"/>
    </cacheField>
    <cacheField name="Away Team" numFmtId="0">
      <sharedItems count="6">
        <s v="Rebels"/>
        <s v="Tigers"/>
        <s v="Brewers"/>
        <s v="Cobras"/>
        <s v="Redbacks"/>
        <s v="Pyros"/>
      </sharedItems>
    </cacheField>
    <cacheField name="Away Sc" numFmtId="0">
      <sharedItems containsString="0" containsBlank="1" containsNumber="1" containsInteger="1" minValue="29" maxValue="1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arvey Pryor" refreshedDate="42753.329330902779" createdVersion="4" refreshedVersion="4" minRefreshableVersion="3" recordCount="48">
  <cacheSource type="worksheet">
    <worksheetSource ref="D22:F70" sheet="Winter 2017-18"/>
  </cacheSource>
  <cacheFields count="3">
    <cacheField name="AWAY" numFmtId="0">
      <sharedItems count="6">
        <s v="Pyros"/>
        <s v="Cubs"/>
        <s v="Brewers"/>
        <s v="L'boro"/>
        <s v="Pyros Jnrs"/>
        <s v="Tigers"/>
      </sharedItems>
    </cacheField>
    <cacheField name="Score" numFmtId="0">
      <sharedItems containsString="0" containsBlank="1" containsNumber="1" containsInteger="1" minValue="7" maxValue="34"/>
    </cacheField>
    <cacheField name="HOME" numFmtId="0">
      <sharedItems count="6">
        <s v="L'Boro"/>
        <s v="Brewers"/>
        <s v="Pyros"/>
        <s v="Pyros Jnrs"/>
        <s v="Cubs"/>
        <s v="Tiger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arvey Pryor" refreshedDate="43019.325903935183" createdVersion="4" refreshedVersion="4" minRefreshableVersion="3" recordCount="42">
  <cacheSource type="worksheet">
    <worksheetSource ref="D79:F121" sheet="Winter 2017-18"/>
  </cacheSource>
  <cacheFields count="3">
    <cacheField name="AWAY" numFmtId="0">
      <sharedItems count="6">
        <s v="Cubs"/>
        <s v="Pyros Jnrs"/>
        <s v="Tigers"/>
        <s v="Pyros"/>
        <s v="L'Boro"/>
        <s v="Brewers"/>
      </sharedItems>
    </cacheField>
    <cacheField name="Score" numFmtId="0">
      <sharedItems containsSemiMixedTypes="0" containsString="0" containsNumber="1" containsInteger="1" minValue="0" maxValue="84"/>
    </cacheField>
    <cacheField name="HOME" numFmtId="0">
      <sharedItems count="6">
        <s v="Pyros"/>
        <s v="Tigers"/>
        <s v="Cubs"/>
        <s v="Pyros Jnrs"/>
        <s v="Brewers"/>
        <s v="L'Bor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n v="66"/>
    <x v="0"/>
    <n v="40"/>
    <n v="3"/>
    <n v="0"/>
  </r>
  <r>
    <x v="1"/>
    <n v="71"/>
    <x v="1"/>
    <n v="47"/>
    <n v="3"/>
    <n v="0"/>
  </r>
  <r>
    <x v="2"/>
    <n v="59"/>
    <x v="2"/>
    <n v="86"/>
    <n v="0"/>
    <n v="3"/>
  </r>
  <r>
    <x v="2"/>
    <n v="67"/>
    <x v="0"/>
    <n v="72"/>
    <n v="0"/>
    <n v="3"/>
  </r>
  <r>
    <x v="3"/>
    <n v="54"/>
    <x v="2"/>
    <n v="97"/>
    <n v="0"/>
    <n v="3"/>
  </r>
  <r>
    <x v="3"/>
    <n v="55"/>
    <x v="3"/>
    <n v="87"/>
    <n v="0"/>
    <n v="3"/>
  </r>
  <r>
    <x v="4"/>
    <n v="37"/>
    <x v="4"/>
    <n v="67"/>
    <n v="0"/>
    <n v="3"/>
  </r>
  <r>
    <x v="0"/>
    <n v="51"/>
    <x v="1"/>
    <n v="73"/>
    <n v="0"/>
    <n v="3"/>
  </r>
  <r>
    <x v="0"/>
    <n v="91"/>
    <x v="5"/>
    <n v="29"/>
    <n v="3"/>
    <n v="0"/>
  </r>
  <r>
    <x v="3"/>
    <n v="67"/>
    <x v="4"/>
    <n v="56"/>
    <n v="3"/>
    <n v="0"/>
  </r>
  <r>
    <x v="5"/>
    <n v="77"/>
    <x v="2"/>
    <n v="69"/>
    <n v="3"/>
    <n v="0"/>
  </r>
  <r>
    <x v="4"/>
    <n v="39"/>
    <x v="1"/>
    <n v="33"/>
    <n v="3"/>
    <n v="0"/>
  </r>
  <r>
    <x v="1"/>
    <n v="79"/>
    <x v="3"/>
    <n v="102"/>
    <n v="0"/>
    <n v="3"/>
  </r>
  <r>
    <x v="1"/>
    <n v="47"/>
    <x v="2"/>
    <n v="88"/>
    <n v="0"/>
    <n v="3"/>
  </r>
  <r>
    <x v="2"/>
    <n v="61"/>
    <x v="4"/>
    <n v="47"/>
    <n v="3"/>
    <n v="0"/>
  </r>
  <r>
    <x v="5"/>
    <n v="58"/>
    <x v="0"/>
    <n v="45"/>
    <n v="3"/>
    <n v="0"/>
  </r>
  <r>
    <x v="0"/>
    <n v="69"/>
    <x v="3"/>
    <n v="66"/>
    <n v="3"/>
    <n v="0"/>
  </r>
  <r>
    <x v="0"/>
    <n v="60"/>
    <x v="4"/>
    <n v="74"/>
    <n v="0"/>
    <n v="3"/>
  </r>
  <r>
    <x v="4"/>
    <n v="62"/>
    <x v="3"/>
    <n v="86"/>
    <n v="0"/>
    <n v="3"/>
  </r>
  <r>
    <x v="2"/>
    <n v="87"/>
    <x v="2"/>
    <n v="78"/>
    <n v="3"/>
    <n v="0"/>
  </r>
  <r>
    <x v="3"/>
    <n v="42"/>
    <x v="5"/>
    <n v="50"/>
    <n v="0"/>
    <n v="3"/>
  </r>
  <r>
    <x v="2"/>
    <n v="70"/>
    <x v="1"/>
    <n v="49"/>
    <n v="3"/>
    <n v="0"/>
  </r>
  <r>
    <x v="4"/>
    <n v="42"/>
    <x v="2"/>
    <n v="66"/>
    <n v="0"/>
    <n v="3"/>
  </r>
  <r>
    <x v="3"/>
    <n v="52"/>
    <x v="2"/>
    <n v="71"/>
    <n v="0"/>
    <n v="3"/>
  </r>
  <r>
    <x v="1"/>
    <m/>
    <x v="4"/>
    <m/>
    <m/>
    <m/>
  </r>
  <r>
    <x v="2"/>
    <m/>
    <x v="5"/>
    <m/>
    <m/>
    <m/>
  </r>
  <r>
    <x v="4"/>
    <m/>
    <x v="0"/>
    <m/>
    <m/>
    <m/>
  </r>
  <r>
    <x v="5"/>
    <m/>
    <x v="3"/>
    <m/>
    <m/>
    <m/>
  </r>
  <r>
    <x v="1"/>
    <m/>
    <x v="3"/>
    <m/>
    <m/>
    <m/>
  </r>
  <r>
    <x v="5"/>
    <m/>
    <x v="5"/>
    <m/>
    <m/>
    <m/>
  </r>
  <r>
    <x v="5"/>
    <m/>
    <x v="1"/>
    <m/>
    <m/>
    <m/>
  </r>
  <r>
    <x v="1"/>
    <m/>
    <x v="5"/>
    <m/>
    <m/>
    <m/>
  </r>
  <r>
    <x v="3"/>
    <m/>
    <x v="0"/>
    <m/>
    <m/>
    <m/>
  </r>
  <r>
    <x v="5"/>
    <m/>
    <x v="5"/>
    <m/>
    <m/>
    <m/>
  </r>
  <r>
    <x v="4"/>
    <m/>
    <x v="1"/>
    <m/>
    <m/>
    <m/>
  </r>
  <r>
    <x v="5"/>
    <m/>
    <x v="0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">
  <r>
    <x v="0"/>
    <n v="66"/>
    <x v="0"/>
    <n v="40"/>
  </r>
  <r>
    <x v="1"/>
    <n v="71"/>
    <x v="1"/>
    <n v="47"/>
  </r>
  <r>
    <x v="2"/>
    <n v="59"/>
    <x v="2"/>
    <n v="86"/>
  </r>
  <r>
    <x v="2"/>
    <n v="67"/>
    <x v="0"/>
    <n v="72"/>
  </r>
  <r>
    <x v="3"/>
    <n v="54"/>
    <x v="2"/>
    <n v="97"/>
  </r>
  <r>
    <x v="3"/>
    <n v="55"/>
    <x v="3"/>
    <n v="87"/>
  </r>
  <r>
    <x v="4"/>
    <n v="37"/>
    <x v="4"/>
    <n v="67"/>
  </r>
  <r>
    <x v="0"/>
    <n v="51"/>
    <x v="1"/>
    <n v="73"/>
  </r>
  <r>
    <x v="0"/>
    <n v="91"/>
    <x v="5"/>
    <n v="29"/>
  </r>
  <r>
    <x v="3"/>
    <n v="67"/>
    <x v="4"/>
    <n v="56"/>
  </r>
  <r>
    <x v="5"/>
    <n v="77"/>
    <x v="2"/>
    <n v="69"/>
  </r>
  <r>
    <x v="4"/>
    <n v="39"/>
    <x v="1"/>
    <n v="33"/>
  </r>
  <r>
    <x v="1"/>
    <n v="79"/>
    <x v="3"/>
    <n v="102"/>
  </r>
  <r>
    <x v="1"/>
    <n v="47"/>
    <x v="2"/>
    <n v="88"/>
  </r>
  <r>
    <x v="2"/>
    <n v="61"/>
    <x v="4"/>
    <n v="47"/>
  </r>
  <r>
    <x v="5"/>
    <n v="58"/>
    <x v="0"/>
    <n v="45"/>
  </r>
  <r>
    <x v="0"/>
    <n v="69"/>
    <x v="3"/>
    <n v="66"/>
  </r>
  <r>
    <x v="0"/>
    <n v="60"/>
    <x v="4"/>
    <n v="74"/>
  </r>
  <r>
    <x v="4"/>
    <n v="62"/>
    <x v="3"/>
    <n v="86"/>
  </r>
  <r>
    <x v="2"/>
    <n v="87"/>
    <x v="2"/>
    <n v="78"/>
  </r>
  <r>
    <x v="3"/>
    <n v="42"/>
    <x v="5"/>
    <n v="50"/>
  </r>
  <r>
    <x v="2"/>
    <n v="70"/>
    <x v="1"/>
    <n v="49"/>
  </r>
  <r>
    <x v="4"/>
    <n v="42"/>
    <x v="2"/>
    <n v="66"/>
  </r>
  <r>
    <x v="3"/>
    <n v="52"/>
    <x v="2"/>
    <n v="71"/>
  </r>
  <r>
    <x v="1"/>
    <m/>
    <x v="4"/>
    <m/>
  </r>
  <r>
    <x v="2"/>
    <m/>
    <x v="5"/>
    <m/>
  </r>
  <r>
    <x v="4"/>
    <m/>
    <x v="0"/>
    <m/>
  </r>
  <r>
    <x v="5"/>
    <m/>
    <x v="3"/>
    <m/>
  </r>
  <r>
    <x v="1"/>
    <m/>
    <x v="3"/>
    <m/>
  </r>
  <r>
    <x v="5"/>
    <m/>
    <x v="5"/>
    <m/>
  </r>
  <r>
    <x v="5"/>
    <m/>
    <x v="1"/>
    <m/>
  </r>
  <r>
    <x v="1"/>
    <m/>
    <x v="5"/>
    <m/>
  </r>
  <r>
    <x v="3"/>
    <m/>
    <x v="0"/>
    <m/>
  </r>
  <r>
    <x v="5"/>
    <m/>
    <x v="5"/>
    <m/>
  </r>
  <r>
    <x v="4"/>
    <m/>
    <x v="1"/>
    <m/>
  </r>
  <r>
    <x v="5"/>
    <m/>
    <x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8">
  <r>
    <x v="0"/>
    <n v="7"/>
    <x v="0"/>
  </r>
  <r>
    <x v="1"/>
    <n v="29"/>
    <x v="1"/>
  </r>
  <r>
    <x v="1"/>
    <n v="7"/>
    <x v="0"/>
  </r>
  <r>
    <x v="2"/>
    <n v="33"/>
    <x v="2"/>
  </r>
  <r>
    <x v="1"/>
    <n v="34"/>
    <x v="2"/>
  </r>
  <r>
    <x v="2"/>
    <n v="7"/>
    <x v="0"/>
  </r>
  <r>
    <x v="3"/>
    <m/>
    <x v="2"/>
  </r>
  <r>
    <x v="1"/>
    <m/>
    <x v="3"/>
  </r>
  <r>
    <x v="0"/>
    <m/>
    <x v="3"/>
  </r>
  <r>
    <x v="3"/>
    <m/>
    <x v="4"/>
  </r>
  <r>
    <x v="4"/>
    <m/>
    <x v="0"/>
  </r>
  <r>
    <x v="1"/>
    <m/>
    <x v="2"/>
  </r>
  <r>
    <x v="3"/>
    <m/>
    <x v="3"/>
  </r>
  <r>
    <x v="2"/>
    <m/>
    <x v="5"/>
  </r>
  <r>
    <x v="3"/>
    <m/>
    <x v="5"/>
  </r>
  <r>
    <x v="4"/>
    <m/>
    <x v="1"/>
  </r>
  <r>
    <x v="3"/>
    <m/>
    <x v="1"/>
  </r>
  <r>
    <x v="4"/>
    <m/>
    <x v="5"/>
  </r>
  <r>
    <x v="2"/>
    <m/>
    <x v="5"/>
  </r>
  <r>
    <x v="1"/>
    <m/>
    <x v="0"/>
  </r>
  <r>
    <x v="2"/>
    <m/>
    <x v="0"/>
  </r>
  <r>
    <x v="5"/>
    <m/>
    <x v="4"/>
  </r>
  <r>
    <x v="1"/>
    <m/>
    <x v="1"/>
  </r>
  <r>
    <x v="5"/>
    <m/>
    <x v="0"/>
  </r>
  <r>
    <x v="5"/>
    <m/>
    <x v="3"/>
  </r>
  <r>
    <x v="0"/>
    <m/>
    <x v="1"/>
  </r>
  <r>
    <x v="5"/>
    <m/>
    <x v="2"/>
  </r>
  <r>
    <x v="2"/>
    <m/>
    <x v="3"/>
  </r>
  <r>
    <x v="4"/>
    <m/>
    <x v="2"/>
  </r>
  <r>
    <x v="5"/>
    <m/>
    <x v="1"/>
  </r>
  <r>
    <x v="4"/>
    <m/>
    <x v="4"/>
  </r>
  <r>
    <x v="2"/>
    <m/>
    <x v="2"/>
  </r>
  <r>
    <x v="0"/>
    <m/>
    <x v="3"/>
  </r>
  <r>
    <x v="2"/>
    <m/>
    <x v="4"/>
  </r>
  <r>
    <x v="4"/>
    <m/>
    <x v="1"/>
  </r>
  <r>
    <x v="0"/>
    <m/>
    <x v="4"/>
  </r>
  <r>
    <x v="3"/>
    <m/>
    <x v="5"/>
  </r>
  <r>
    <x v="1"/>
    <m/>
    <x v="3"/>
  </r>
  <r>
    <x v="4"/>
    <m/>
    <x v="0"/>
  </r>
  <r>
    <x v="5"/>
    <m/>
    <x v="4"/>
  </r>
  <r>
    <x v="3"/>
    <m/>
    <x v="4"/>
  </r>
  <r>
    <x v="5"/>
    <m/>
    <x v="3"/>
  </r>
  <r>
    <x v="2"/>
    <m/>
    <x v="4"/>
  </r>
  <r>
    <x v="0"/>
    <m/>
    <x v="5"/>
  </r>
  <r>
    <x v="0"/>
    <m/>
    <x v="1"/>
  </r>
  <r>
    <x v="1"/>
    <m/>
    <x v="5"/>
  </r>
  <r>
    <x v="5"/>
    <m/>
    <x v="1"/>
  </r>
  <r>
    <x v="0"/>
    <m/>
    <x v="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2">
  <r>
    <x v="0"/>
    <n v="28"/>
    <x v="0"/>
  </r>
  <r>
    <x v="1"/>
    <n v="49"/>
    <x v="1"/>
  </r>
  <r>
    <x v="1"/>
    <n v="36"/>
    <x v="2"/>
  </r>
  <r>
    <x v="2"/>
    <n v="37"/>
    <x v="0"/>
  </r>
  <r>
    <x v="3"/>
    <n v="31"/>
    <x v="3"/>
  </r>
  <r>
    <x v="0"/>
    <n v="62"/>
    <x v="1"/>
  </r>
  <r>
    <x v="3"/>
    <n v="51"/>
    <x v="1"/>
  </r>
  <r>
    <x v="4"/>
    <n v="10"/>
    <x v="4"/>
  </r>
  <r>
    <x v="3"/>
    <n v="41"/>
    <x v="5"/>
  </r>
  <r>
    <x v="5"/>
    <n v="23"/>
    <x v="1"/>
  </r>
  <r>
    <x v="2"/>
    <n v="60"/>
    <x v="5"/>
  </r>
  <r>
    <x v="5"/>
    <n v="50"/>
    <x v="0"/>
  </r>
  <r>
    <x v="5"/>
    <n v="44"/>
    <x v="5"/>
  </r>
  <r>
    <x v="1"/>
    <n v="38"/>
    <x v="0"/>
  </r>
  <r>
    <x v="3"/>
    <n v="35"/>
    <x v="4"/>
  </r>
  <r>
    <x v="4"/>
    <n v="22"/>
    <x v="3"/>
  </r>
  <r>
    <x v="4"/>
    <n v="39"/>
    <x v="0"/>
  </r>
  <r>
    <x v="1"/>
    <n v="33"/>
    <x v="4"/>
  </r>
  <r>
    <x v="5"/>
    <n v="0"/>
    <x v="2"/>
  </r>
  <r>
    <x v="2"/>
    <n v="24"/>
    <x v="3"/>
  </r>
  <r>
    <x v="5"/>
    <n v="0"/>
    <x v="3"/>
  </r>
  <r>
    <x v="2"/>
    <n v="20"/>
    <x v="2"/>
  </r>
  <r>
    <x v="2"/>
    <n v="7"/>
    <x v="4"/>
  </r>
  <r>
    <x v="0"/>
    <n v="56"/>
    <x v="3"/>
  </r>
  <r>
    <x v="0"/>
    <n v="68"/>
    <x v="5"/>
  </r>
  <r>
    <x v="2"/>
    <n v="44"/>
    <x v="0"/>
  </r>
  <r>
    <x v="4"/>
    <n v="30"/>
    <x v="1"/>
  </r>
  <r>
    <x v="3"/>
    <n v="60"/>
    <x v="2"/>
  </r>
  <r>
    <x v="3"/>
    <n v="65"/>
    <x v="5"/>
  </r>
  <r>
    <x v="0"/>
    <n v="54"/>
    <x v="1"/>
  </r>
  <r>
    <x v="1"/>
    <n v="49"/>
    <x v="0"/>
  </r>
  <r>
    <x v="2"/>
    <n v="68"/>
    <x v="5"/>
  </r>
  <r>
    <x v="1"/>
    <n v="84"/>
    <x v="5"/>
  </r>
  <r>
    <x v="3"/>
    <n v="64"/>
    <x v="1"/>
  </r>
  <r>
    <x v="1"/>
    <n v="44"/>
    <x v="1"/>
  </r>
  <r>
    <x v="4"/>
    <n v="13"/>
    <x v="0"/>
  </r>
  <r>
    <x v="1"/>
    <n v="29"/>
    <x v="2"/>
  </r>
  <r>
    <x v="4"/>
    <n v="54"/>
    <x v="4"/>
  </r>
  <r>
    <x v="0"/>
    <n v="33"/>
    <x v="4"/>
  </r>
  <r>
    <x v="4"/>
    <n v="6"/>
    <x v="3"/>
  </r>
  <r>
    <x v="5"/>
    <n v="51"/>
    <x v="3"/>
  </r>
  <r>
    <x v="4"/>
    <n v="27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3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M13:O21" firstHeaderRow="1" firstDataRow="2" firstDataCol="1"/>
  <pivotFields count="4">
    <pivotField axis="axisRow" showAll="0">
      <items count="7">
        <item x="0"/>
        <item x="2"/>
        <item x="4"/>
        <item x="1"/>
        <item x="5"/>
        <item x="3"/>
        <item t="default"/>
      </items>
    </pivotField>
    <pivotField dataField="1" showAll="0"/>
    <pivotField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ome Sc" fld="1" baseField="0" baseItem="0"/>
    <dataField name="Sum of Away Sc" fld="3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3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P23:R31" firstHeaderRow="1" firstDataRow="2" firstDataCol="1"/>
  <pivotFields count="6">
    <pivotField showAll="0"/>
    <pivotField showAll="0"/>
    <pivotField axis="axisRow" showAll="0">
      <items count="7">
        <item x="2"/>
        <item x="3"/>
        <item x="5"/>
        <item x="0"/>
        <item x="4"/>
        <item x="1"/>
        <item t="default"/>
      </items>
    </pivotField>
    <pivotField showAll="0"/>
    <pivotField showAll="0"/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way Pts" fld="5" baseField="0" baseItem="0"/>
    <dataField name="Count of Away Pts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3" cacheId="3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P13:R21" firstHeaderRow="1" firstDataRow="2" firstDataCol="1"/>
  <pivotFields count="6">
    <pivotField axis="axisRow" showAll="0">
      <items count="7">
        <item x="0"/>
        <item x="2"/>
        <item x="4"/>
        <item x="1"/>
        <item x="5"/>
        <item x="3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Home Pts" fld="4" baseField="0" baseItem="0"/>
    <dataField name="Count of Home Pts" fld="4" subtotal="count" baseField="0" baseItem="0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M23:O31" firstHeaderRow="1" firstDataRow="2" firstDataCol="1"/>
  <pivotFields count="4">
    <pivotField showAll="0"/>
    <pivotField dataField="1" showAll="0"/>
    <pivotField axis="axisRow" showAll="0">
      <items count="7">
        <item x="2"/>
        <item x="3"/>
        <item x="5"/>
        <item x="0"/>
        <item x="4"/>
        <item x="1"/>
        <item t="default"/>
      </items>
    </pivotField>
    <pivotField dataField="1" showAll="0"/>
  </pivotFields>
  <rowFields count="1">
    <field x="2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way Sc" fld="3" baseField="0" baseItem="0"/>
    <dataField name="Sum of Home Sc" fld="1" baseField="0" baseItem="0"/>
  </dataField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19" cacheId="3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T14:AA22" firstHeaderRow="1" firstDataRow="2" firstDataCol="1"/>
  <pivotFields count="3">
    <pivotField axis="axisRow" showAll="0">
      <items count="7">
        <item x="5"/>
        <item x="0"/>
        <item x="4"/>
        <item x="3"/>
        <item x="1"/>
        <item x="2"/>
        <item t="default"/>
      </items>
    </pivotField>
    <pivotField showAll="0"/>
    <pivotField axis="axisCol" dataField="1" showAll="0">
      <items count="7">
        <item x="4"/>
        <item x="2"/>
        <item x="5"/>
        <item x="0"/>
        <item x="3"/>
        <item x="1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HO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8" cacheId="3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T2:AA10" firstHeaderRow="1" firstDataRow="2" firstDataCol="1"/>
  <pivotFields count="3">
    <pivotField axis="axisRow" showAll="0">
      <items count="7">
        <item x="2"/>
        <item x="1"/>
        <item x="3"/>
        <item x="0"/>
        <item x="4"/>
        <item x="5"/>
        <item t="default"/>
      </items>
    </pivotField>
    <pivotField showAll="0"/>
    <pivotField axis="axisCol" dataField="1" showAll="0">
      <items count="7">
        <item x="1"/>
        <item x="4"/>
        <item x="0"/>
        <item x="2"/>
        <item x="3"/>
        <item x="5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HOME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C4:M10" totalsRowShown="0" headerRowDxfId="12" dataDxfId="11">
  <sortState ref="C5:M10">
    <sortCondition descending="1" ref="L5:L10"/>
    <sortCondition descending="1" ref="M5:M10"/>
    <sortCondition ref="D5:D10"/>
    <sortCondition ref="C5:C10"/>
  </sortState>
  <tableColumns count="11">
    <tableColumn id="1" name="#" dataDxfId="10"/>
    <tableColumn id="11" name="Team" dataDxfId="9"/>
    <tableColumn id="2" name="Played" dataDxfId="8"/>
    <tableColumn id="3" name="Won" dataDxfId="7"/>
    <tableColumn id="4" name="Drawn" dataDxfId="6"/>
    <tableColumn id="5" name="Lost" dataDxfId="5"/>
    <tableColumn id="6" name="F" dataDxfId="4"/>
    <tableColumn id="7" name="A" dataDxfId="3"/>
    <tableColumn id="8" name="Diff" dataDxfId="2">
      <calculatedColumnFormula>I5-J5</calculatedColumnFormula>
    </tableColumn>
    <tableColumn id="9" name="Points" dataDxfId="1">
      <calculatedColumnFormula>(F5*3)+(G5*1)</calculatedColumnFormula>
    </tableColumn>
    <tableColumn id="10" name="Win %" dataDxfId="0">
      <calculatedColumnFormula>Table1[[#This Row],[Won]]/Table1[[#This Row],[Played]]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3" workbookViewId="0">
      <selection activeCell="J14" sqref="J14"/>
    </sheetView>
  </sheetViews>
  <sheetFormatPr defaultRowHeight="15" x14ac:dyDescent="0.25"/>
  <cols>
    <col min="1" max="1" width="6.42578125" style="1" customWidth="1"/>
    <col min="2" max="2" width="4.28515625" style="1" customWidth="1"/>
    <col min="3" max="9" width="9.140625" style="1"/>
  </cols>
  <sheetData>
    <row r="1" spans="1:11" x14ac:dyDescent="0.25">
      <c r="A1" s="216" t="s">
        <v>44</v>
      </c>
      <c r="B1" s="217"/>
      <c r="C1" s="217"/>
      <c r="D1" s="217"/>
      <c r="E1" s="217"/>
      <c r="F1" s="217"/>
      <c r="G1" s="217"/>
      <c r="H1" s="218"/>
    </row>
    <row r="2" spans="1:11" ht="27" customHeight="1" x14ac:dyDescent="0.25">
      <c r="A2" s="219"/>
      <c r="B2" s="220"/>
      <c r="C2" s="220"/>
      <c r="D2" s="220"/>
      <c r="E2" s="220"/>
      <c r="F2" s="220"/>
      <c r="G2" s="220"/>
      <c r="H2" s="221"/>
    </row>
    <row r="3" spans="1:11" x14ac:dyDescent="0.25">
      <c r="C3" s="86" t="s">
        <v>0</v>
      </c>
      <c r="D3" s="86" t="s">
        <v>1</v>
      </c>
      <c r="E3" s="86" t="s">
        <v>3</v>
      </c>
      <c r="F3" s="86" t="s">
        <v>4</v>
      </c>
      <c r="G3" s="86" t="s">
        <v>5</v>
      </c>
      <c r="H3" s="86" t="s">
        <v>2</v>
      </c>
      <c r="I3" s="85"/>
    </row>
    <row r="4" spans="1:11" x14ac:dyDescent="0.25">
      <c r="A4" s="81" t="s">
        <v>8</v>
      </c>
      <c r="B4" s="81">
        <v>28</v>
      </c>
      <c r="C4" s="81" t="s">
        <v>35</v>
      </c>
      <c r="D4" s="81" t="s">
        <v>35</v>
      </c>
      <c r="E4" s="81" t="s">
        <v>35</v>
      </c>
      <c r="F4" s="81" t="s">
        <v>35</v>
      </c>
      <c r="G4" s="81"/>
      <c r="H4" s="81"/>
    </row>
    <row r="5" spans="1:11" x14ac:dyDescent="0.25">
      <c r="A5" s="7" t="s">
        <v>36</v>
      </c>
      <c r="B5" s="7">
        <v>4</v>
      </c>
      <c r="C5" s="7" t="s">
        <v>35</v>
      </c>
      <c r="D5" s="7" t="s">
        <v>35</v>
      </c>
      <c r="E5" s="7"/>
      <c r="F5" s="7"/>
      <c r="G5" s="7" t="s">
        <v>35</v>
      </c>
      <c r="H5" s="7" t="s">
        <v>35</v>
      </c>
    </row>
    <row r="6" spans="1:11" x14ac:dyDescent="0.25">
      <c r="A6" s="81" t="s">
        <v>36</v>
      </c>
      <c r="B6" s="81">
        <v>11</v>
      </c>
      <c r="C6" s="81" t="s">
        <v>35</v>
      </c>
      <c r="D6" s="81"/>
      <c r="E6" s="81" t="s">
        <v>35</v>
      </c>
      <c r="F6" s="81" t="s">
        <v>35</v>
      </c>
      <c r="G6" s="81"/>
      <c r="H6" s="81" t="s">
        <v>35</v>
      </c>
    </row>
    <row r="7" spans="1:11" x14ac:dyDescent="0.25">
      <c r="A7" s="7" t="s">
        <v>36</v>
      </c>
      <c r="B7" s="7">
        <v>18</v>
      </c>
      <c r="C7" s="7"/>
      <c r="D7" s="7"/>
      <c r="E7" s="7"/>
      <c r="F7" s="7"/>
      <c r="G7" s="7"/>
      <c r="H7" s="7"/>
    </row>
    <row r="8" spans="1:11" x14ac:dyDescent="0.25">
      <c r="A8" s="81" t="s">
        <v>36</v>
      </c>
      <c r="B8" s="81">
        <v>25</v>
      </c>
      <c r="C8" s="81"/>
      <c r="D8" s="81"/>
      <c r="E8" s="81"/>
      <c r="F8" s="81"/>
      <c r="G8" s="81"/>
      <c r="H8" s="81"/>
    </row>
    <row r="9" spans="1:11" x14ac:dyDescent="0.25">
      <c r="A9" s="7" t="s">
        <v>37</v>
      </c>
      <c r="B9" s="7">
        <v>2</v>
      </c>
      <c r="C9" s="7" t="s">
        <v>35</v>
      </c>
      <c r="D9" s="7" t="s">
        <v>35</v>
      </c>
      <c r="E9" s="7" t="s">
        <v>35</v>
      </c>
      <c r="F9" s="7"/>
      <c r="G9" s="7" t="s">
        <v>35</v>
      </c>
      <c r="H9" s="7"/>
    </row>
    <row r="10" spans="1:11" x14ac:dyDescent="0.25">
      <c r="A10" s="99" t="s">
        <v>37</v>
      </c>
      <c r="B10" s="99">
        <v>9</v>
      </c>
      <c r="C10" s="99"/>
      <c r="D10" s="99"/>
      <c r="E10" s="99" t="s">
        <v>35</v>
      </c>
      <c r="F10" s="99" t="s">
        <v>35</v>
      </c>
      <c r="G10" s="99" t="s">
        <v>35</v>
      </c>
      <c r="H10" s="99" t="s">
        <v>35</v>
      </c>
      <c r="I10" s="100" t="s">
        <v>57</v>
      </c>
      <c r="J10" s="101"/>
      <c r="K10" s="101"/>
    </row>
    <row r="11" spans="1:11" x14ac:dyDescent="0.25">
      <c r="A11" s="7" t="s">
        <v>37</v>
      </c>
      <c r="B11" s="7">
        <v>16</v>
      </c>
      <c r="C11" s="7"/>
      <c r="D11" s="7" t="s">
        <v>35</v>
      </c>
      <c r="E11" s="7"/>
      <c r="F11" s="7" t="s">
        <v>35</v>
      </c>
      <c r="G11" s="7" t="s">
        <v>35</v>
      </c>
      <c r="H11" s="7" t="s">
        <v>35</v>
      </c>
    </row>
    <row r="12" spans="1:11" x14ac:dyDescent="0.25">
      <c r="A12" s="81" t="s">
        <v>37</v>
      </c>
      <c r="B12" s="81">
        <v>23</v>
      </c>
      <c r="C12" s="81"/>
      <c r="D12" s="81"/>
      <c r="E12" s="81"/>
      <c r="F12" s="81"/>
      <c r="G12" s="81"/>
      <c r="H12" s="81"/>
    </row>
    <row r="13" spans="1:11" x14ac:dyDescent="0.25">
      <c r="A13" s="7" t="s">
        <v>37</v>
      </c>
      <c r="B13" s="7">
        <v>30</v>
      </c>
      <c r="C13" s="7"/>
      <c r="D13" s="7"/>
      <c r="E13" s="7"/>
      <c r="F13" s="7"/>
      <c r="G13" s="7"/>
      <c r="H13" s="7"/>
    </row>
    <row r="14" spans="1:11" x14ac:dyDescent="0.25">
      <c r="A14" s="81" t="s">
        <v>38</v>
      </c>
      <c r="B14" s="81">
        <v>6</v>
      </c>
      <c r="C14" s="81" t="s">
        <v>35</v>
      </c>
      <c r="D14" s="81" t="s">
        <v>35</v>
      </c>
      <c r="E14" s="81"/>
      <c r="F14" s="81" t="s">
        <v>35</v>
      </c>
      <c r="G14" s="81"/>
      <c r="H14" s="81" t="s">
        <v>35</v>
      </c>
    </row>
    <row r="15" spans="1:11" x14ac:dyDescent="0.25">
      <c r="A15" s="7" t="s">
        <v>38</v>
      </c>
      <c r="B15" s="7">
        <v>13</v>
      </c>
      <c r="C15" s="7" t="s">
        <v>35</v>
      </c>
      <c r="D15" s="7" t="s">
        <v>35</v>
      </c>
      <c r="E15" s="7" t="s">
        <v>35</v>
      </c>
      <c r="F15" s="7"/>
      <c r="G15" s="7"/>
      <c r="H15" s="7" t="s">
        <v>35</v>
      </c>
    </row>
    <row r="16" spans="1:11" x14ac:dyDescent="0.25">
      <c r="A16" s="81" t="s">
        <v>38</v>
      </c>
      <c r="B16" s="81">
        <v>20</v>
      </c>
      <c r="C16" s="81"/>
      <c r="D16" s="81" t="s">
        <v>35</v>
      </c>
      <c r="E16" s="81" t="s">
        <v>35</v>
      </c>
      <c r="F16" s="81" t="s">
        <v>35</v>
      </c>
      <c r="G16" s="81" t="s">
        <v>35</v>
      </c>
      <c r="H16" s="81"/>
    </row>
    <row r="17" spans="1:9" x14ac:dyDescent="0.25">
      <c r="A17" s="40" t="s">
        <v>38</v>
      </c>
      <c r="B17" s="40">
        <v>27</v>
      </c>
      <c r="C17" s="97" t="s">
        <v>35</v>
      </c>
      <c r="D17" s="97"/>
      <c r="E17" s="97"/>
      <c r="F17" s="97" t="s">
        <v>35</v>
      </c>
      <c r="G17" s="97" t="s">
        <v>35</v>
      </c>
      <c r="H17" s="97" t="s">
        <v>35</v>
      </c>
      <c r="I17" s="4" t="s">
        <v>58</v>
      </c>
    </row>
    <row r="18" spans="1:9" x14ac:dyDescent="0.25">
      <c r="A18" s="96" t="s">
        <v>39</v>
      </c>
      <c r="B18" s="96">
        <v>3</v>
      </c>
      <c r="C18" s="96" t="s">
        <v>60</v>
      </c>
      <c r="D18" s="96"/>
      <c r="E18" s="96"/>
      <c r="F18" s="96" t="s">
        <v>60</v>
      </c>
      <c r="G18" s="96" t="s">
        <v>60</v>
      </c>
      <c r="H18" s="96" t="s">
        <v>60</v>
      </c>
      <c r="I18" s="4" t="s">
        <v>63</v>
      </c>
    </row>
    <row r="19" spans="1:9" x14ac:dyDescent="0.25">
      <c r="A19" s="7" t="s">
        <v>39</v>
      </c>
      <c r="B19" s="7">
        <v>10</v>
      </c>
      <c r="C19" s="7"/>
      <c r="D19" s="7" t="s">
        <v>35</v>
      </c>
      <c r="E19" s="7" t="s">
        <v>35</v>
      </c>
      <c r="F19" s="7"/>
      <c r="G19" s="7" t="s">
        <v>35</v>
      </c>
      <c r="H19" s="7" t="s">
        <v>35</v>
      </c>
    </row>
    <row r="20" spans="1:9" x14ac:dyDescent="0.25">
      <c r="A20" s="81" t="s">
        <v>39</v>
      </c>
      <c r="B20" s="81">
        <v>17</v>
      </c>
      <c r="C20" s="81"/>
      <c r="D20" s="81"/>
      <c r="E20" s="81"/>
      <c r="F20" s="81"/>
      <c r="G20" s="81"/>
      <c r="H20" s="81"/>
    </row>
    <row r="21" spans="1:9" x14ac:dyDescent="0.25">
      <c r="A21" s="7" t="s">
        <v>39</v>
      </c>
      <c r="B21" s="7">
        <v>24</v>
      </c>
      <c r="C21" s="7" t="s">
        <v>35</v>
      </c>
      <c r="D21" s="7"/>
      <c r="E21" s="7" t="s">
        <v>35</v>
      </c>
      <c r="F21" s="7" t="s">
        <v>35</v>
      </c>
      <c r="G21" s="7" t="s">
        <v>35</v>
      </c>
      <c r="H21" s="7"/>
    </row>
    <row r="22" spans="1:9" x14ac:dyDescent="0.25">
      <c r="A22" s="81" t="s">
        <v>40</v>
      </c>
      <c r="B22" s="81">
        <v>3</v>
      </c>
      <c r="C22" s="81" t="s">
        <v>35</v>
      </c>
      <c r="D22" s="81"/>
      <c r="E22" s="81" t="s">
        <v>35</v>
      </c>
      <c r="F22" s="81"/>
      <c r="G22" s="81" t="s">
        <v>35</v>
      </c>
      <c r="H22" s="81" t="s">
        <v>35</v>
      </c>
    </row>
    <row r="23" spans="1:9" x14ac:dyDescent="0.25">
      <c r="A23" s="98" t="s">
        <v>40</v>
      </c>
      <c r="B23" s="98">
        <v>10</v>
      </c>
      <c r="C23" s="98"/>
      <c r="D23" s="98" t="s">
        <v>35</v>
      </c>
      <c r="E23" s="98" t="s">
        <v>35</v>
      </c>
      <c r="F23" s="98" t="s">
        <v>35</v>
      </c>
      <c r="G23" s="98"/>
      <c r="H23" s="98" t="s">
        <v>35</v>
      </c>
      <c r="I23" s="4" t="s">
        <v>59</v>
      </c>
    </row>
    <row r="24" spans="1:9" x14ac:dyDescent="0.25">
      <c r="A24" s="96" t="s">
        <v>40</v>
      </c>
      <c r="B24" s="96">
        <v>17</v>
      </c>
      <c r="C24" s="96"/>
      <c r="D24" s="96" t="s">
        <v>60</v>
      </c>
      <c r="E24" s="96" t="s">
        <v>60</v>
      </c>
      <c r="F24" s="96" t="s">
        <v>60</v>
      </c>
      <c r="G24" s="96"/>
      <c r="H24" s="96" t="s">
        <v>60</v>
      </c>
      <c r="I24" s="4" t="s">
        <v>64</v>
      </c>
    </row>
    <row r="25" spans="1:9" x14ac:dyDescent="0.25">
      <c r="A25" s="83" t="s">
        <v>40</v>
      </c>
      <c r="B25" s="83">
        <v>24</v>
      </c>
      <c r="C25" s="83" t="s">
        <v>35</v>
      </c>
      <c r="D25" s="83" t="s">
        <v>35</v>
      </c>
      <c r="E25" s="83"/>
      <c r="F25" s="83" t="s">
        <v>35</v>
      </c>
      <c r="G25" s="83" t="s">
        <v>35</v>
      </c>
      <c r="H25" s="83"/>
      <c r="I25" s="4"/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workbookViewId="0">
      <pane xSplit="2" ySplit="2" topLeftCell="C28" activePane="bottomRight" state="frozen"/>
      <selection pane="topRight" activeCell="C1" sqref="C1"/>
      <selection pane="bottomLeft" activeCell="A3" sqref="A3"/>
      <selection pane="bottomRight" activeCell="N37" sqref="N37"/>
    </sheetView>
  </sheetViews>
  <sheetFormatPr defaultRowHeight="15" x14ac:dyDescent="0.25"/>
  <cols>
    <col min="2" max="2" width="9.140625" style="1"/>
    <col min="5" max="12" width="9.140625" style="1"/>
    <col min="13" max="13" width="13.140625" style="1" customWidth="1"/>
    <col min="14" max="14" width="15.28515625" style="1" customWidth="1"/>
    <col min="15" max="15" width="14.85546875" style="1" customWidth="1"/>
    <col min="16" max="16" width="13.140625" customWidth="1"/>
    <col min="17" max="17" width="15.7109375" customWidth="1"/>
    <col min="18" max="18" width="17.28515625" customWidth="1"/>
    <col min="19" max="19" width="15.7109375" customWidth="1"/>
    <col min="20" max="20" width="7.28515625" customWidth="1"/>
    <col min="21" max="21" width="11.28515625" customWidth="1"/>
    <col min="22" max="22" width="9.140625" customWidth="1"/>
    <col min="23" max="23" width="12.140625" customWidth="1"/>
    <col min="24" max="24" width="11.28515625" customWidth="1"/>
    <col min="25" max="36" width="3" customWidth="1"/>
    <col min="37" max="37" width="7.28515625" customWidth="1"/>
    <col min="38" max="38" width="11.28515625" bestFit="1" customWidth="1"/>
  </cols>
  <sheetData>
    <row r="1" spans="1:20" x14ac:dyDescent="0.25">
      <c r="D1" s="222" t="s">
        <v>56</v>
      </c>
      <c r="E1" s="222"/>
      <c r="F1" s="222"/>
      <c r="G1" s="222"/>
      <c r="H1" s="222"/>
      <c r="I1" s="222"/>
      <c r="J1" s="222" t="s">
        <v>65</v>
      </c>
      <c r="K1" s="222"/>
      <c r="L1" s="222"/>
      <c r="M1" s="222"/>
      <c r="N1" s="222"/>
      <c r="O1" s="222"/>
      <c r="P1" s="104"/>
      <c r="Q1" s="1"/>
      <c r="R1" s="1"/>
      <c r="S1" s="1"/>
      <c r="T1" s="1"/>
    </row>
    <row r="2" spans="1:20" x14ac:dyDescent="0.25">
      <c r="A2" s="87" t="s">
        <v>45</v>
      </c>
      <c r="B2" s="87" t="s">
        <v>11</v>
      </c>
      <c r="C2" s="88" t="s">
        <v>46</v>
      </c>
      <c r="D2" s="87" t="s">
        <v>47</v>
      </c>
      <c r="E2" s="87" t="s">
        <v>48</v>
      </c>
      <c r="F2" s="87" t="s">
        <v>49</v>
      </c>
      <c r="G2" s="87" t="s">
        <v>50</v>
      </c>
      <c r="H2" s="87" t="s">
        <v>51</v>
      </c>
      <c r="I2" s="89" t="s">
        <v>52</v>
      </c>
      <c r="J2" s="87" t="s">
        <v>47</v>
      </c>
      <c r="K2" s="87" t="s">
        <v>48</v>
      </c>
      <c r="L2" s="87" t="s">
        <v>49</v>
      </c>
      <c r="M2" s="87" t="s">
        <v>50</v>
      </c>
      <c r="N2" s="87" t="s">
        <v>51</v>
      </c>
      <c r="O2" s="89" t="s">
        <v>52</v>
      </c>
      <c r="P2" s="87" t="s">
        <v>82</v>
      </c>
      <c r="Q2" s="87" t="s">
        <v>53</v>
      </c>
      <c r="R2" s="1"/>
      <c r="S2" s="1"/>
      <c r="T2" s="1"/>
    </row>
    <row r="3" spans="1:20" x14ac:dyDescent="0.25">
      <c r="A3" s="90"/>
      <c r="B3" s="91"/>
      <c r="C3" s="92"/>
      <c r="D3" s="90"/>
      <c r="E3" s="90"/>
      <c r="F3" s="90"/>
      <c r="G3" s="90"/>
      <c r="H3" s="90"/>
      <c r="I3" s="93"/>
      <c r="J3" s="90"/>
      <c r="K3" s="90"/>
      <c r="L3" s="90"/>
      <c r="M3" s="90"/>
      <c r="N3" s="90"/>
      <c r="O3" s="93"/>
      <c r="P3" s="93"/>
      <c r="Q3" s="90"/>
      <c r="R3" s="1"/>
      <c r="S3" s="1"/>
      <c r="T3" s="1"/>
    </row>
    <row r="4" spans="1:20" ht="15" customHeight="1" x14ac:dyDescent="0.25">
      <c r="A4" s="10">
        <v>1</v>
      </c>
      <c r="B4" s="94" t="s">
        <v>0</v>
      </c>
      <c r="C4" s="95">
        <v>12</v>
      </c>
      <c r="D4" s="40">
        <v>3</v>
      </c>
      <c r="E4" s="40">
        <v>2</v>
      </c>
      <c r="F4" s="40">
        <v>0</v>
      </c>
      <c r="G4" s="40">
        <f>GETPIVOTDATA("Sum of Home Sc",$M$13,"Home Team","Brewers")</f>
        <v>337</v>
      </c>
      <c r="H4" s="40">
        <f>GETPIVOTDATA("Sum of Away Sc",$M$13,"Home Team","Brewers")</f>
        <v>282</v>
      </c>
      <c r="I4" s="40">
        <f t="shared" ref="I4:I9" si="0">G4-H4</f>
        <v>55</v>
      </c>
      <c r="J4" s="40">
        <v>5</v>
      </c>
      <c r="K4" s="40">
        <v>2</v>
      </c>
      <c r="L4" s="40">
        <v>0</v>
      </c>
      <c r="M4" s="40">
        <f>GETPIVOTDATA("Sum of Away Sc",$M$23,"Away Team","Brewers")</f>
        <v>555</v>
      </c>
      <c r="N4" s="40">
        <f>GETPIVOTDATA("Sum of Home Sc",$M$23,"Away Team","Brewers")</f>
        <v>418</v>
      </c>
      <c r="O4" s="40">
        <f t="shared" ref="O4:O9" si="1">M4-N4</f>
        <v>137</v>
      </c>
      <c r="P4" s="40">
        <f t="shared" ref="P4:P9" si="2">I4+O4</f>
        <v>192</v>
      </c>
      <c r="Q4" s="40">
        <f t="shared" ref="Q4:Q9" si="3">(D4*3)+(F4*1)+(J4*3)+(L4*1)</f>
        <v>24</v>
      </c>
      <c r="R4" s="1"/>
      <c r="S4" s="1"/>
      <c r="T4" s="1"/>
    </row>
    <row r="5" spans="1:20" ht="15" customHeight="1" x14ac:dyDescent="0.25">
      <c r="A5" s="10">
        <v>2</v>
      </c>
      <c r="B5" s="94" t="s">
        <v>3</v>
      </c>
      <c r="C5" s="95">
        <v>9</v>
      </c>
      <c r="D5" s="40">
        <v>3</v>
      </c>
      <c r="E5" s="40">
        <v>2</v>
      </c>
      <c r="F5" s="40">
        <v>0</v>
      </c>
      <c r="G5" s="40">
        <f>GETPIVOTDATA("Sum of Home Sc",$M$13,"Home Team","Cobras")</f>
        <v>344</v>
      </c>
      <c r="H5" s="40">
        <f>GETPIVOTDATA("Sum of Away Sc",$M$13,"Home Team","Cobras")</f>
        <v>332</v>
      </c>
      <c r="I5" s="40">
        <f t="shared" si="0"/>
        <v>12</v>
      </c>
      <c r="J5" s="40">
        <v>3</v>
      </c>
      <c r="K5" s="40">
        <v>1</v>
      </c>
      <c r="L5" s="40">
        <v>0</v>
      </c>
      <c r="M5" s="40">
        <f>GETPIVOTDATA("Sum of Away Sc",$M$23,"Away Team","Cobras")</f>
        <v>341</v>
      </c>
      <c r="N5" s="40">
        <f>GETPIVOTDATA("Sum of Home Sc",$M$23,"Away Team","Cobras")</f>
        <v>265</v>
      </c>
      <c r="O5" s="40">
        <f t="shared" si="1"/>
        <v>76</v>
      </c>
      <c r="P5" s="40">
        <f t="shared" si="2"/>
        <v>88</v>
      </c>
      <c r="Q5" s="40">
        <f t="shared" si="3"/>
        <v>18</v>
      </c>
      <c r="R5" s="1"/>
      <c r="S5" s="1"/>
      <c r="T5" s="1"/>
    </row>
    <row r="6" spans="1:20" ht="15" customHeight="1" x14ac:dyDescent="0.25">
      <c r="A6" s="10">
        <v>3</v>
      </c>
      <c r="B6" s="94" t="s">
        <v>2</v>
      </c>
      <c r="C6" s="95">
        <v>6</v>
      </c>
      <c r="D6" s="40">
        <v>2</v>
      </c>
      <c r="E6" s="40">
        <v>0</v>
      </c>
      <c r="F6" s="40">
        <v>0</v>
      </c>
      <c r="G6" s="40">
        <f>GETPIVOTDATA("Sum of Home Sc",$M$13,"Home Team","Redbacks")</f>
        <v>135</v>
      </c>
      <c r="H6" s="40">
        <f>GETPIVOTDATA("Sum of Away Sc",$M$13,"Home Team","Redbacks")</f>
        <v>114</v>
      </c>
      <c r="I6" s="40">
        <f t="shared" si="0"/>
        <v>21</v>
      </c>
      <c r="J6" s="40">
        <v>2</v>
      </c>
      <c r="K6" s="40">
        <v>2</v>
      </c>
      <c r="L6" s="40">
        <v>0</v>
      </c>
      <c r="M6" s="40">
        <f>GETPIVOTDATA("Sum of Away Sc",$M$23,"Away Team","Redbacks")</f>
        <v>244</v>
      </c>
      <c r="N6" s="40">
        <f>GETPIVOTDATA("Sum of Home Sc",$M$23,"Away Team","Redbacks")</f>
        <v>225</v>
      </c>
      <c r="O6" s="40">
        <f t="shared" si="1"/>
        <v>19</v>
      </c>
      <c r="P6" s="40">
        <f t="shared" si="2"/>
        <v>40</v>
      </c>
      <c r="Q6" s="40">
        <f t="shared" si="3"/>
        <v>12</v>
      </c>
      <c r="R6" s="1"/>
      <c r="S6" s="1"/>
      <c r="T6" s="1"/>
    </row>
    <row r="7" spans="1:20" x14ac:dyDescent="0.25">
      <c r="A7" s="10">
        <v>5</v>
      </c>
      <c r="B7" s="94" t="s">
        <v>4</v>
      </c>
      <c r="C7" s="95">
        <v>6</v>
      </c>
      <c r="D7" s="40">
        <v>1</v>
      </c>
      <c r="E7" s="40">
        <v>2</v>
      </c>
      <c r="F7" s="40">
        <v>0</v>
      </c>
      <c r="G7" s="40">
        <f>GETPIVOTDATA("Sum of Home Sc",$M$13,"Home Team","Rebels")</f>
        <v>197</v>
      </c>
      <c r="H7" s="40">
        <f>GETPIVOTDATA("Sum of Away Sc",$M$13,"Home Team","Rebels")</f>
        <v>237</v>
      </c>
      <c r="I7" s="40">
        <f t="shared" si="0"/>
        <v>-40</v>
      </c>
      <c r="J7" s="40">
        <v>1</v>
      </c>
      <c r="K7" s="40">
        <v>2</v>
      </c>
      <c r="L7" s="40">
        <v>0</v>
      </c>
      <c r="M7" s="40">
        <f>GETPIVOTDATA("Sum of Away Sc",$M$23,"Away Team","Rebels")</f>
        <v>157</v>
      </c>
      <c r="N7" s="40">
        <f>GETPIVOTDATA("Sum of Home Sc",$M$23,"Away Team","Rebels")</f>
        <v>191</v>
      </c>
      <c r="O7" s="40">
        <f t="shared" si="1"/>
        <v>-34</v>
      </c>
      <c r="P7" s="40">
        <f t="shared" si="2"/>
        <v>-74</v>
      </c>
      <c r="Q7" s="40">
        <f t="shared" si="3"/>
        <v>6</v>
      </c>
      <c r="R7" s="1"/>
      <c r="S7" s="1"/>
      <c r="T7" s="1"/>
    </row>
    <row r="8" spans="1:20" x14ac:dyDescent="0.25">
      <c r="A8" s="10">
        <v>4</v>
      </c>
      <c r="B8" s="94" t="s">
        <v>1</v>
      </c>
      <c r="C8" s="95">
        <v>9</v>
      </c>
      <c r="D8" s="40">
        <v>1</v>
      </c>
      <c r="E8" s="40">
        <v>4</v>
      </c>
      <c r="F8" s="40">
        <v>0</v>
      </c>
      <c r="G8" s="40">
        <f>GETPIVOTDATA("Sum of Home Sc",$M$13,"Home Team","Tigers")</f>
        <v>270</v>
      </c>
      <c r="H8" s="40">
        <f>GETPIVOTDATA("Sum of Away Sc",$M$13,"Home Team","Tigers")</f>
        <v>361</v>
      </c>
      <c r="I8" s="40">
        <f t="shared" si="0"/>
        <v>-91</v>
      </c>
      <c r="J8" s="40">
        <v>1</v>
      </c>
      <c r="K8" s="40">
        <v>3</v>
      </c>
      <c r="L8" s="40">
        <v>0</v>
      </c>
      <c r="M8" s="40">
        <f>GETPIVOTDATA("Sum of Away Sc",$M$23,"Away Team","Tigers")</f>
        <v>202</v>
      </c>
      <c r="N8" s="40">
        <f>GETPIVOTDATA("Sum of Home Sc",$M$23,"Away Team","Tigers")</f>
        <v>231</v>
      </c>
      <c r="O8" s="40">
        <f t="shared" si="1"/>
        <v>-29</v>
      </c>
      <c r="P8" s="40">
        <f t="shared" si="2"/>
        <v>-120</v>
      </c>
      <c r="Q8" s="40">
        <f t="shared" si="3"/>
        <v>6</v>
      </c>
      <c r="R8" s="1"/>
      <c r="S8" s="1"/>
      <c r="T8" s="1"/>
    </row>
    <row r="9" spans="1:20" x14ac:dyDescent="0.25">
      <c r="A9" s="10">
        <v>6</v>
      </c>
      <c r="B9" s="94" t="s">
        <v>5</v>
      </c>
      <c r="C9" s="95">
        <v>6</v>
      </c>
      <c r="D9" s="40">
        <v>1</v>
      </c>
      <c r="E9" s="40">
        <v>3</v>
      </c>
      <c r="F9" s="40">
        <v>0</v>
      </c>
      <c r="G9" s="40">
        <f>GETPIVOTDATA("Sum of Home Sc",$M$13,"Home Team","Pyros")</f>
        <v>180</v>
      </c>
      <c r="H9" s="40">
        <f>GETPIVOTDATA("Sum of Away Sc",$M$13,"Home Team","Pyros")</f>
        <v>252</v>
      </c>
      <c r="I9" s="40">
        <f t="shared" si="0"/>
        <v>-72</v>
      </c>
      <c r="J9" s="40">
        <v>1</v>
      </c>
      <c r="K9" s="40">
        <v>1</v>
      </c>
      <c r="L9" s="40">
        <v>0</v>
      </c>
      <c r="M9" s="40">
        <f>GETPIVOTDATA("Sum of Away Sc",$M$23,"Away Team","Pyros")</f>
        <v>79</v>
      </c>
      <c r="N9" s="40">
        <f>GETPIVOTDATA("Sum of Home Sc",$M$23,"Away Team","Pyros")</f>
        <v>133</v>
      </c>
      <c r="O9" s="40">
        <f t="shared" si="1"/>
        <v>-54</v>
      </c>
      <c r="P9" s="40">
        <f t="shared" si="2"/>
        <v>-126</v>
      </c>
      <c r="Q9" s="40">
        <f t="shared" si="3"/>
        <v>6</v>
      </c>
      <c r="R9" s="1"/>
      <c r="S9" s="1"/>
      <c r="T9" s="1"/>
    </row>
    <row r="11" spans="1:20" x14ac:dyDescent="0.25">
      <c r="A11" t="s">
        <v>54</v>
      </c>
      <c r="E11" s="1" t="s">
        <v>53</v>
      </c>
      <c r="H11" s="4" t="s">
        <v>55</v>
      </c>
      <c r="L11" s="1" t="s">
        <v>53</v>
      </c>
    </row>
    <row r="12" spans="1:20" ht="15.75" thickBot="1" x14ac:dyDescent="0.3">
      <c r="A12" t="s">
        <v>66</v>
      </c>
      <c r="B12" s="1" t="s">
        <v>67</v>
      </c>
      <c r="C12" t="s">
        <v>68</v>
      </c>
      <c r="D12" t="s">
        <v>69</v>
      </c>
      <c r="E12" s="1" t="s">
        <v>75</v>
      </c>
      <c r="F12" s="1" t="s">
        <v>77</v>
      </c>
      <c r="H12" s="4"/>
      <c r="L12" s="1" t="s">
        <v>76</v>
      </c>
    </row>
    <row r="13" spans="1:20" x14ac:dyDescent="0.25">
      <c r="A13" s="24" t="s">
        <v>0</v>
      </c>
      <c r="B13" s="24">
        <v>66</v>
      </c>
      <c r="C13" s="25" t="s">
        <v>4</v>
      </c>
      <c r="D13" s="25">
        <v>40</v>
      </c>
      <c r="E13" s="1">
        <f>IF(B13&gt;D13,3,IF(B13=D13,1,0))</f>
        <v>3</v>
      </c>
      <c r="F13" s="1">
        <f>IF(B13&lt;D13,3,IF(B13=D13,1,0))</f>
        <v>0</v>
      </c>
      <c r="H13" s="24" t="s">
        <v>0</v>
      </c>
      <c r="I13" s="24">
        <v>66</v>
      </c>
      <c r="J13" s="25" t="s">
        <v>4</v>
      </c>
      <c r="K13" s="25">
        <v>40</v>
      </c>
      <c r="L13" s="1">
        <f>IF(I13&lt;K13,3,0)</f>
        <v>0</v>
      </c>
      <c r="M13"/>
      <c r="N13" s="102" t="s">
        <v>73</v>
      </c>
      <c r="O13"/>
      <c r="Q13" s="102" t="s">
        <v>73</v>
      </c>
    </row>
    <row r="14" spans="1:20" x14ac:dyDescent="0.25">
      <c r="A14" s="32" t="s">
        <v>4</v>
      </c>
      <c r="B14" s="32">
        <v>71</v>
      </c>
      <c r="C14" s="33" t="s">
        <v>1</v>
      </c>
      <c r="D14" s="33">
        <v>47</v>
      </c>
      <c r="E14" s="1">
        <f>IF(B14&gt;D14,3,0)</f>
        <v>3</v>
      </c>
      <c r="F14" s="1">
        <f t="shared" ref="F14:F36" si="4">IF(B14&lt;D14,3,IF(B14=D14,1,0))</f>
        <v>0</v>
      </c>
      <c r="H14" s="32" t="s">
        <v>4</v>
      </c>
      <c r="I14" s="32">
        <v>71</v>
      </c>
      <c r="J14" s="33" t="s">
        <v>1</v>
      </c>
      <c r="K14" s="33">
        <v>47</v>
      </c>
      <c r="L14" s="1">
        <f t="shared" ref="L14:L36" si="5">IF(I14&lt;K14,3,0)</f>
        <v>0</v>
      </c>
      <c r="M14" s="102" t="s">
        <v>70</v>
      </c>
      <c r="N14" t="s">
        <v>72</v>
      </c>
      <c r="O14" t="s">
        <v>74</v>
      </c>
      <c r="P14" s="102" t="s">
        <v>70</v>
      </c>
      <c r="Q14" t="s">
        <v>80</v>
      </c>
      <c r="R14" t="s">
        <v>78</v>
      </c>
    </row>
    <row r="15" spans="1:20" x14ac:dyDescent="0.25">
      <c r="A15" s="32" t="s">
        <v>3</v>
      </c>
      <c r="B15" s="32">
        <v>59</v>
      </c>
      <c r="C15" s="33" t="s">
        <v>0</v>
      </c>
      <c r="D15" s="33">
        <v>86</v>
      </c>
      <c r="E15" s="1">
        <f>IF(B15&gt;D15,3,0)</f>
        <v>0</v>
      </c>
      <c r="F15" s="1">
        <f t="shared" si="4"/>
        <v>3</v>
      </c>
      <c r="H15" s="32" t="s">
        <v>3</v>
      </c>
      <c r="I15" s="32">
        <v>59</v>
      </c>
      <c r="J15" s="33" t="s">
        <v>0</v>
      </c>
      <c r="K15" s="33">
        <v>86</v>
      </c>
      <c r="L15" s="1">
        <f t="shared" si="5"/>
        <v>3</v>
      </c>
      <c r="M15" s="4" t="s">
        <v>0</v>
      </c>
      <c r="N15" s="103">
        <v>337</v>
      </c>
      <c r="O15" s="103">
        <v>282</v>
      </c>
      <c r="P15" s="4" t="s">
        <v>0</v>
      </c>
      <c r="Q15" s="103">
        <v>9</v>
      </c>
      <c r="R15" s="103">
        <v>5</v>
      </c>
    </row>
    <row r="16" spans="1:20" x14ac:dyDescent="0.25">
      <c r="A16" s="32" t="s">
        <v>3</v>
      </c>
      <c r="B16" s="32">
        <v>67</v>
      </c>
      <c r="C16" s="33" t="s">
        <v>4</v>
      </c>
      <c r="D16" s="33">
        <v>72</v>
      </c>
      <c r="E16" s="1">
        <f>IF(B16&gt;D16,3,0)</f>
        <v>0</v>
      </c>
      <c r="F16" s="1">
        <f t="shared" si="4"/>
        <v>3</v>
      </c>
      <c r="H16" s="32" t="s">
        <v>3</v>
      </c>
      <c r="I16" s="32">
        <v>67</v>
      </c>
      <c r="J16" s="33" t="s">
        <v>4</v>
      </c>
      <c r="K16" s="33">
        <v>72</v>
      </c>
      <c r="L16" s="1">
        <f t="shared" si="5"/>
        <v>3</v>
      </c>
      <c r="M16" s="4" t="s">
        <v>3</v>
      </c>
      <c r="N16" s="103">
        <v>344</v>
      </c>
      <c r="O16" s="103">
        <v>332</v>
      </c>
      <c r="P16" s="4" t="s">
        <v>3</v>
      </c>
      <c r="Q16" s="103">
        <v>9</v>
      </c>
      <c r="R16" s="103">
        <v>5</v>
      </c>
    </row>
    <row r="17" spans="1:18" x14ac:dyDescent="0.25">
      <c r="A17" s="39" t="s">
        <v>1</v>
      </c>
      <c r="B17" s="39">
        <v>54</v>
      </c>
      <c r="C17" s="40" t="s">
        <v>0</v>
      </c>
      <c r="D17" s="40">
        <v>97</v>
      </c>
      <c r="E17" s="1">
        <f>IF(B17&gt;D17,3,0)</f>
        <v>0</v>
      </c>
      <c r="F17" s="1">
        <f t="shared" si="4"/>
        <v>3</v>
      </c>
      <c r="H17" s="39" t="s">
        <v>1</v>
      </c>
      <c r="I17" s="39">
        <v>54</v>
      </c>
      <c r="J17" s="40" t="s">
        <v>0</v>
      </c>
      <c r="K17" s="40">
        <v>97</v>
      </c>
      <c r="L17" s="1">
        <f t="shared" si="5"/>
        <v>3</v>
      </c>
      <c r="M17" s="4" t="s">
        <v>5</v>
      </c>
      <c r="N17" s="103">
        <v>180</v>
      </c>
      <c r="O17" s="103">
        <v>252</v>
      </c>
      <c r="P17" s="4" t="s">
        <v>5</v>
      </c>
      <c r="Q17" s="103">
        <v>3</v>
      </c>
      <c r="R17" s="103">
        <v>4</v>
      </c>
    </row>
    <row r="18" spans="1:18" ht="15.75" thickBot="1" x14ac:dyDescent="0.3">
      <c r="A18" s="46" t="s">
        <v>1</v>
      </c>
      <c r="B18" s="46">
        <v>55</v>
      </c>
      <c r="C18" s="47" t="s">
        <v>3</v>
      </c>
      <c r="D18" s="47">
        <v>87</v>
      </c>
      <c r="E18" s="1">
        <f>IF(B18&gt;D18,3,0)</f>
        <v>0</v>
      </c>
      <c r="F18" s="1">
        <f t="shared" si="4"/>
        <v>3</v>
      </c>
      <c r="H18" s="46" t="s">
        <v>1</v>
      </c>
      <c r="I18" s="46">
        <v>55</v>
      </c>
      <c r="J18" s="47" t="s">
        <v>3</v>
      </c>
      <c r="K18" s="47">
        <v>87</v>
      </c>
      <c r="L18" s="1">
        <f t="shared" si="5"/>
        <v>3</v>
      </c>
      <c r="M18" s="4" t="s">
        <v>4</v>
      </c>
      <c r="N18" s="103">
        <v>197</v>
      </c>
      <c r="O18" s="103">
        <v>237</v>
      </c>
      <c r="P18" s="4" t="s">
        <v>4</v>
      </c>
      <c r="Q18" s="103">
        <v>3</v>
      </c>
      <c r="R18" s="103">
        <v>3</v>
      </c>
    </row>
    <row r="19" spans="1:18" x14ac:dyDescent="0.25">
      <c r="A19" s="24" t="s">
        <v>5</v>
      </c>
      <c r="B19" s="24">
        <v>37</v>
      </c>
      <c r="C19" s="25" t="s">
        <v>2</v>
      </c>
      <c r="D19" s="25">
        <v>67</v>
      </c>
      <c r="E19" s="1">
        <f t="shared" ref="E19:E36" si="6">IF(B19&gt;D19,3,0)</f>
        <v>0</v>
      </c>
      <c r="F19" s="1">
        <f t="shared" si="4"/>
        <v>3</v>
      </c>
      <c r="H19" s="24" t="s">
        <v>5</v>
      </c>
      <c r="I19" s="24">
        <v>37</v>
      </c>
      <c r="J19" s="25" t="s">
        <v>2</v>
      </c>
      <c r="K19" s="25">
        <v>67</v>
      </c>
      <c r="L19" s="1">
        <f t="shared" si="5"/>
        <v>3</v>
      </c>
      <c r="M19" s="4" t="s">
        <v>2</v>
      </c>
      <c r="N19" s="103">
        <v>135</v>
      </c>
      <c r="O19" s="103">
        <v>114</v>
      </c>
      <c r="P19" s="4" t="s">
        <v>2</v>
      </c>
      <c r="Q19" s="103">
        <v>6</v>
      </c>
      <c r="R19" s="103">
        <v>2</v>
      </c>
    </row>
    <row r="20" spans="1:18" x14ac:dyDescent="0.25">
      <c r="A20" s="32" t="s">
        <v>0</v>
      </c>
      <c r="B20" s="32">
        <v>51</v>
      </c>
      <c r="C20" s="33" t="s">
        <v>1</v>
      </c>
      <c r="D20" s="33">
        <v>73</v>
      </c>
      <c r="E20" s="1">
        <f t="shared" si="6"/>
        <v>0</v>
      </c>
      <c r="F20" s="1">
        <f t="shared" si="4"/>
        <v>3</v>
      </c>
      <c r="H20" s="32" t="s">
        <v>0</v>
      </c>
      <c r="I20" s="32">
        <v>51</v>
      </c>
      <c r="J20" s="33" t="s">
        <v>1</v>
      </c>
      <c r="K20" s="33">
        <v>73</v>
      </c>
      <c r="L20" s="1">
        <f t="shared" si="5"/>
        <v>3</v>
      </c>
      <c r="M20" s="4" t="s">
        <v>1</v>
      </c>
      <c r="N20" s="103">
        <v>270</v>
      </c>
      <c r="O20" s="103">
        <v>361</v>
      </c>
      <c r="P20" s="4" t="s">
        <v>1</v>
      </c>
      <c r="Q20" s="103">
        <v>3</v>
      </c>
      <c r="R20" s="103">
        <v>5</v>
      </c>
    </row>
    <row r="21" spans="1:18" x14ac:dyDescent="0.25">
      <c r="A21" s="32" t="s">
        <v>0</v>
      </c>
      <c r="B21" s="32">
        <v>91</v>
      </c>
      <c r="C21" s="33" t="s">
        <v>5</v>
      </c>
      <c r="D21" s="33">
        <v>29</v>
      </c>
      <c r="E21" s="1">
        <f t="shared" si="6"/>
        <v>3</v>
      </c>
      <c r="F21" s="1">
        <f t="shared" si="4"/>
        <v>0</v>
      </c>
      <c r="H21" s="32" t="s">
        <v>0</v>
      </c>
      <c r="I21" s="32">
        <v>91</v>
      </c>
      <c r="J21" s="33" t="s">
        <v>5</v>
      </c>
      <c r="K21" s="33">
        <v>29</v>
      </c>
      <c r="L21" s="1">
        <f t="shared" si="5"/>
        <v>0</v>
      </c>
      <c r="M21" s="4" t="s">
        <v>71</v>
      </c>
      <c r="N21" s="103">
        <v>1463</v>
      </c>
      <c r="O21" s="103">
        <v>1578</v>
      </c>
      <c r="P21" s="4" t="s">
        <v>71</v>
      </c>
      <c r="Q21" s="103">
        <v>33</v>
      </c>
      <c r="R21" s="103">
        <v>24</v>
      </c>
    </row>
    <row r="22" spans="1:18" x14ac:dyDescent="0.25">
      <c r="A22" s="32" t="s">
        <v>1</v>
      </c>
      <c r="B22" s="32">
        <v>67</v>
      </c>
      <c r="C22" s="33" t="s">
        <v>2</v>
      </c>
      <c r="D22" s="33">
        <v>56</v>
      </c>
      <c r="E22" s="1">
        <f t="shared" si="6"/>
        <v>3</v>
      </c>
      <c r="F22" s="1">
        <f t="shared" si="4"/>
        <v>0</v>
      </c>
      <c r="H22" s="32" t="s">
        <v>1</v>
      </c>
      <c r="I22" s="32">
        <v>67</v>
      </c>
      <c r="J22" s="33" t="s">
        <v>2</v>
      </c>
      <c r="K22" s="33">
        <v>56</v>
      </c>
      <c r="L22" s="1">
        <f t="shared" si="5"/>
        <v>0</v>
      </c>
      <c r="M22"/>
      <c r="N22"/>
      <c r="O22"/>
    </row>
    <row r="23" spans="1:18" x14ac:dyDescent="0.25">
      <c r="A23" s="39" t="s">
        <v>2</v>
      </c>
      <c r="B23" s="39">
        <v>77</v>
      </c>
      <c r="C23" s="40" t="s">
        <v>0</v>
      </c>
      <c r="D23" s="40">
        <v>69</v>
      </c>
      <c r="E23" s="1">
        <f t="shared" si="6"/>
        <v>3</v>
      </c>
      <c r="F23" s="1">
        <f t="shared" si="4"/>
        <v>0</v>
      </c>
      <c r="H23" s="39" t="s">
        <v>2</v>
      </c>
      <c r="I23" s="39">
        <v>77</v>
      </c>
      <c r="J23" s="40" t="s">
        <v>0</v>
      </c>
      <c r="K23" s="40">
        <v>69</v>
      </c>
      <c r="L23" s="1">
        <f t="shared" si="5"/>
        <v>0</v>
      </c>
      <c r="M23"/>
      <c r="N23" s="102" t="s">
        <v>73</v>
      </c>
      <c r="O23"/>
      <c r="Q23" s="102" t="s">
        <v>73</v>
      </c>
    </row>
    <row r="24" spans="1:18" ht="15.75" thickBot="1" x14ac:dyDescent="0.3">
      <c r="A24" s="46" t="s">
        <v>5</v>
      </c>
      <c r="B24" s="46">
        <v>39</v>
      </c>
      <c r="C24" s="47" t="s">
        <v>1</v>
      </c>
      <c r="D24" s="47">
        <v>33</v>
      </c>
      <c r="E24" s="1">
        <f t="shared" si="6"/>
        <v>3</v>
      </c>
      <c r="F24" s="1">
        <f t="shared" si="4"/>
        <v>0</v>
      </c>
      <c r="H24" s="46" t="s">
        <v>5</v>
      </c>
      <c r="I24" s="46">
        <v>39</v>
      </c>
      <c r="J24" s="47" t="s">
        <v>1</v>
      </c>
      <c r="K24" s="47">
        <v>33</v>
      </c>
      <c r="L24" s="1">
        <f t="shared" si="5"/>
        <v>0</v>
      </c>
      <c r="M24" s="102" t="s">
        <v>70</v>
      </c>
      <c r="N24" t="s">
        <v>74</v>
      </c>
      <c r="O24" t="s">
        <v>72</v>
      </c>
      <c r="P24" s="102" t="s">
        <v>70</v>
      </c>
      <c r="Q24" t="s">
        <v>81</v>
      </c>
      <c r="R24" t="s">
        <v>79</v>
      </c>
    </row>
    <row r="25" spans="1:18" x14ac:dyDescent="0.25">
      <c r="A25" s="32" t="s">
        <v>4</v>
      </c>
      <c r="B25" s="32">
        <v>79</v>
      </c>
      <c r="C25" s="33" t="s">
        <v>3</v>
      </c>
      <c r="D25" s="33">
        <v>102</v>
      </c>
      <c r="E25" s="1">
        <f t="shared" si="6"/>
        <v>0</v>
      </c>
      <c r="F25" s="1">
        <f t="shared" si="4"/>
        <v>3</v>
      </c>
      <c r="H25" s="32" t="s">
        <v>4</v>
      </c>
      <c r="I25" s="32">
        <v>79</v>
      </c>
      <c r="J25" s="33" t="s">
        <v>3</v>
      </c>
      <c r="K25" s="33">
        <v>102</v>
      </c>
      <c r="L25" s="1">
        <f t="shared" si="5"/>
        <v>3</v>
      </c>
      <c r="M25" s="4" t="s">
        <v>0</v>
      </c>
      <c r="N25" s="103">
        <v>555</v>
      </c>
      <c r="O25" s="103">
        <v>418</v>
      </c>
      <c r="P25" s="4" t="s">
        <v>0</v>
      </c>
      <c r="Q25" s="103">
        <v>15</v>
      </c>
      <c r="R25" s="103">
        <v>7</v>
      </c>
    </row>
    <row r="26" spans="1:18" x14ac:dyDescent="0.25">
      <c r="A26" s="32" t="s">
        <v>4</v>
      </c>
      <c r="B26" s="32">
        <v>47</v>
      </c>
      <c r="C26" s="33" t="s">
        <v>0</v>
      </c>
      <c r="D26" s="33">
        <v>88</v>
      </c>
      <c r="E26" s="1">
        <f t="shared" si="6"/>
        <v>0</v>
      </c>
      <c r="F26" s="1">
        <f t="shared" si="4"/>
        <v>3</v>
      </c>
      <c r="H26" s="32" t="s">
        <v>4</v>
      </c>
      <c r="I26" s="32">
        <v>47</v>
      </c>
      <c r="J26" s="33" t="s">
        <v>0</v>
      </c>
      <c r="K26" s="33">
        <v>88</v>
      </c>
      <c r="L26" s="1">
        <f t="shared" si="5"/>
        <v>3</v>
      </c>
      <c r="M26" s="4" t="s">
        <v>3</v>
      </c>
      <c r="N26" s="103">
        <v>341</v>
      </c>
      <c r="O26" s="103">
        <v>265</v>
      </c>
      <c r="P26" s="4" t="s">
        <v>3</v>
      </c>
      <c r="Q26" s="103">
        <v>9</v>
      </c>
      <c r="R26" s="103">
        <v>4</v>
      </c>
    </row>
    <row r="27" spans="1:18" x14ac:dyDescent="0.25">
      <c r="A27" s="32" t="s">
        <v>3</v>
      </c>
      <c r="B27" s="32">
        <v>61</v>
      </c>
      <c r="C27" s="33" t="s">
        <v>2</v>
      </c>
      <c r="D27" s="33">
        <v>47</v>
      </c>
      <c r="E27" s="1">
        <f t="shared" si="6"/>
        <v>3</v>
      </c>
      <c r="F27" s="1">
        <f t="shared" si="4"/>
        <v>0</v>
      </c>
      <c r="H27" s="32" t="s">
        <v>3</v>
      </c>
      <c r="I27" s="32">
        <v>61</v>
      </c>
      <c r="J27" s="33" t="s">
        <v>2</v>
      </c>
      <c r="K27" s="33">
        <v>47</v>
      </c>
      <c r="L27" s="1">
        <f t="shared" si="5"/>
        <v>0</v>
      </c>
      <c r="M27" s="4" t="s">
        <v>5</v>
      </c>
      <c r="N27" s="103">
        <v>79</v>
      </c>
      <c r="O27" s="103">
        <v>133</v>
      </c>
      <c r="P27" s="4" t="s">
        <v>5</v>
      </c>
      <c r="Q27" s="103">
        <v>3</v>
      </c>
      <c r="R27" s="103">
        <v>2</v>
      </c>
    </row>
    <row r="28" spans="1:18" x14ac:dyDescent="0.25">
      <c r="A28" s="32" t="s">
        <v>2</v>
      </c>
      <c r="B28" s="32">
        <v>58</v>
      </c>
      <c r="C28" s="33" t="s">
        <v>4</v>
      </c>
      <c r="D28" s="33">
        <v>45</v>
      </c>
      <c r="E28" s="1">
        <f t="shared" si="6"/>
        <v>3</v>
      </c>
      <c r="F28" s="1">
        <f t="shared" si="4"/>
        <v>0</v>
      </c>
      <c r="H28" s="32" t="s">
        <v>2</v>
      </c>
      <c r="I28" s="32">
        <v>58</v>
      </c>
      <c r="J28" s="33" t="s">
        <v>4</v>
      </c>
      <c r="K28" s="33">
        <v>45</v>
      </c>
      <c r="L28" s="1">
        <f t="shared" si="5"/>
        <v>0</v>
      </c>
      <c r="M28" s="4" t="s">
        <v>4</v>
      </c>
      <c r="N28" s="103">
        <v>157</v>
      </c>
      <c r="O28" s="103">
        <v>191</v>
      </c>
      <c r="P28" s="4" t="s">
        <v>4</v>
      </c>
      <c r="Q28" s="103">
        <v>3</v>
      </c>
      <c r="R28" s="103">
        <v>3</v>
      </c>
    </row>
    <row r="29" spans="1:18" x14ac:dyDescent="0.25">
      <c r="A29" s="39" t="s">
        <v>0</v>
      </c>
      <c r="B29" s="39">
        <v>69</v>
      </c>
      <c r="C29" s="40" t="s">
        <v>3</v>
      </c>
      <c r="D29" s="40">
        <v>66</v>
      </c>
      <c r="E29" s="1">
        <f t="shared" si="6"/>
        <v>3</v>
      </c>
      <c r="F29" s="1">
        <f t="shared" si="4"/>
        <v>0</v>
      </c>
      <c r="H29" s="39" t="s">
        <v>0</v>
      </c>
      <c r="I29" s="39">
        <v>69</v>
      </c>
      <c r="J29" s="40" t="s">
        <v>3</v>
      </c>
      <c r="K29" s="40">
        <v>66</v>
      </c>
      <c r="L29" s="1">
        <f t="shared" si="5"/>
        <v>0</v>
      </c>
      <c r="M29" s="4" t="s">
        <v>2</v>
      </c>
      <c r="N29" s="103">
        <v>244</v>
      </c>
      <c r="O29" s="103">
        <v>225</v>
      </c>
      <c r="P29" s="4" t="s">
        <v>2</v>
      </c>
      <c r="Q29" s="103">
        <v>6</v>
      </c>
      <c r="R29" s="103">
        <v>4</v>
      </c>
    </row>
    <row r="30" spans="1:18" ht="15.75" thickBot="1" x14ac:dyDescent="0.3">
      <c r="A30" s="55" t="s">
        <v>0</v>
      </c>
      <c r="B30" s="55">
        <v>60</v>
      </c>
      <c r="C30" s="56" t="s">
        <v>2</v>
      </c>
      <c r="D30" s="56">
        <v>74</v>
      </c>
      <c r="E30" s="1">
        <f t="shared" si="6"/>
        <v>0</v>
      </c>
      <c r="F30" s="1">
        <f t="shared" si="4"/>
        <v>3</v>
      </c>
      <c r="H30" s="55" t="s">
        <v>0</v>
      </c>
      <c r="I30" s="55">
        <v>60</v>
      </c>
      <c r="J30" s="56" t="s">
        <v>2</v>
      </c>
      <c r="K30" s="56">
        <v>74</v>
      </c>
      <c r="L30" s="1">
        <f t="shared" si="5"/>
        <v>3</v>
      </c>
      <c r="M30" s="4" t="s">
        <v>1</v>
      </c>
      <c r="N30" s="103">
        <v>202</v>
      </c>
      <c r="O30" s="103">
        <v>231</v>
      </c>
      <c r="P30" s="4" t="s">
        <v>1</v>
      </c>
      <c r="Q30" s="103">
        <v>3</v>
      </c>
      <c r="R30" s="103">
        <v>4</v>
      </c>
    </row>
    <row r="31" spans="1:18" x14ac:dyDescent="0.25">
      <c r="A31" s="24" t="s">
        <v>5</v>
      </c>
      <c r="B31" s="24">
        <v>62</v>
      </c>
      <c r="C31" s="25" t="s">
        <v>3</v>
      </c>
      <c r="D31" s="25">
        <v>86</v>
      </c>
      <c r="E31" s="1">
        <f t="shared" si="6"/>
        <v>0</v>
      </c>
      <c r="F31" s="1">
        <f t="shared" si="4"/>
        <v>3</v>
      </c>
      <c r="H31" s="24" t="s">
        <v>5</v>
      </c>
      <c r="I31" s="24">
        <v>62</v>
      </c>
      <c r="J31" s="25" t="s">
        <v>3</v>
      </c>
      <c r="K31" s="25">
        <v>86</v>
      </c>
      <c r="L31" s="1">
        <f t="shared" si="5"/>
        <v>3</v>
      </c>
      <c r="M31" s="4" t="s">
        <v>71</v>
      </c>
      <c r="N31" s="103">
        <v>1578</v>
      </c>
      <c r="O31" s="103">
        <v>1463</v>
      </c>
      <c r="P31" s="4" t="s">
        <v>71</v>
      </c>
      <c r="Q31" s="103">
        <v>39</v>
      </c>
      <c r="R31" s="103">
        <v>24</v>
      </c>
    </row>
    <row r="32" spans="1:18" x14ac:dyDescent="0.25">
      <c r="A32" s="32" t="s">
        <v>3</v>
      </c>
      <c r="B32" s="32">
        <v>87</v>
      </c>
      <c r="C32" s="33" t="s">
        <v>0</v>
      </c>
      <c r="D32" s="33">
        <v>78</v>
      </c>
      <c r="E32" s="1">
        <f t="shared" si="6"/>
        <v>3</v>
      </c>
      <c r="F32" s="1">
        <f t="shared" si="4"/>
        <v>0</v>
      </c>
      <c r="H32" s="32" t="s">
        <v>3</v>
      </c>
      <c r="I32" s="32">
        <v>87</v>
      </c>
      <c r="J32" s="33" t="s">
        <v>0</v>
      </c>
      <c r="K32" s="33">
        <v>78</v>
      </c>
      <c r="L32" s="1">
        <f t="shared" si="5"/>
        <v>0</v>
      </c>
      <c r="N32"/>
      <c r="O32"/>
    </row>
    <row r="33" spans="1:15" x14ac:dyDescent="0.25">
      <c r="A33" s="32" t="s">
        <v>1</v>
      </c>
      <c r="B33" s="32">
        <v>42</v>
      </c>
      <c r="C33" s="33" t="s">
        <v>5</v>
      </c>
      <c r="D33" s="33">
        <v>50</v>
      </c>
      <c r="E33" s="1">
        <f t="shared" si="6"/>
        <v>0</v>
      </c>
      <c r="F33" s="1">
        <f t="shared" si="4"/>
        <v>3</v>
      </c>
      <c r="H33" s="32" t="s">
        <v>1</v>
      </c>
      <c r="I33" s="32">
        <v>42</v>
      </c>
      <c r="J33" s="33" t="s">
        <v>5</v>
      </c>
      <c r="K33" s="33">
        <v>50</v>
      </c>
      <c r="L33" s="1">
        <f t="shared" si="5"/>
        <v>3</v>
      </c>
      <c r="N33"/>
      <c r="O33"/>
    </row>
    <row r="34" spans="1:15" x14ac:dyDescent="0.25">
      <c r="A34" s="32" t="s">
        <v>3</v>
      </c>
      <c r="B34" s="32">
        <v>70</v>
      </c>
      <c r="C34" s="33" t="s">
        <v>1</v>
      </c>
      <c r="D34" s="33">
        <v>49</v>
      </c>
      <c r="E34" s="1">
        <f t="shared" si="6"/>
        <v>3</v>
      </c>
      <c r="F34" s="1">
        <f t="shared" si="4"/>
        <v>0</v>
      </c>
      <c r="H34" s="32" t="s">
        <v>3</v>
      </c>
      <c r="I34" s="32">
        <v>70</v>
      </c>
      <c r="J34" s="33" t="s">
        <v>1</v>
      </c>
      <c r="K34" s="33">
        <v>49</v>
      </c>
      <c r="L34" s="1">
        <f t="shared" si="5"/>
        <v>0</v>
      </c>
      <c r="N34"/>
      <c r="O34"/>
    </row>
    <row r="35" spans="1:15" x14ac:dyDescent="0.25">
      <c r="A35" s="39" t="s">
        <v>5</v>
      </c>
      <c r="B35" s="39">
        <v>42</v>
      </c>
      <c r="C35" s="40" t="s">
        <v>0</v>
      </c>
      <c r="D35" s="40">
        <v>66</v>
      </c>
      <c r="E35" s="1">
        <f t="shared" si="6"/>
        <v>0</v>
      </c>
      <c r="F35" s="1">
        <f t="shared" si="4"/>
        <v>3</v>
      </c>
      <c r="H35" s="39" t="s">
        <v>5</v>
      </c>
      <c r="I35" s="39">
        <v>42</v>
      </c>
      <c r="J35" s="40" t="s">
        <v>0</v>
      </c>
      <c r="K35" s="40">
        <v>66</v>
      </c>
      <c r="L35" s="1">
        <f t="shared" si="5"/>
        <v>3</v>
      </c>
      <c r="N35"/>
      <c r="O35"/>
    </row>
    <row r="36" spans="1:15" ht="15.75" thickBot="1" x14ac:dyDescent="0.3">
      <c r="A36" s="46" t="s">
        <v>1</v>
      </c>
      <c r="B36" s="46">
        <v>52</v>
      </c>
      <c r="C36" s="47" t="s">
        <v>0</v>
      </c>
      <c r="D36" s="47">
        <v>71</v>
      </c>
      <c r="E36" s="1">
        <f t="shared" si="6"/>
        <v>0</v>
      </c>
      <c r="F36" s="1">
        <f t="shared" si="4"/>
        <v>3</v>
      </c>
      <c r="H36" s="46" t="s">
        <v>1</v>
      </c>
      <c r="I36" s="46">
        <v>52</v>
      </c>
      <c r="J36" s="47" t="s">
        <v>0</v>
      </c>
      <c r="K36" s="47">
        <v>71</v>
      </c>
      <c r="L36" s="1">
        <f t="shared" si="5"/>
        <v>3</v>
      </c>
      <c r="N36"/>
      <c r="O36"/>
    </row>
    <row r="37" spans="1:15" x14ac:dyDescent="0.25">
      <c r="A37" s="24" t="s">
        <v>4</v>
      </c>
      <c r="B37" s="24"/>
      <c r="C37" s="25" t="s">
        <v>2</v>
      </c>
      <c r="D37" s="25"/>
      <c r="H37" s="24" t="s">
        <v>4</v>
      </c>
      <c r="I37" s="24"/>
      <c r="J37" s="25" t="s">
        <v>2</v>
      </c>
      <c r="K37" s="25"/>
      <c r="N37"/>
      <c r="O37"/>
    </row>
    <row r="38" spans="1:15" x14ac:dyDescent="0.25">
      <c r="A38" s="32" t="s">
        <v>3</v>
      </c>
      <c r="B38" s="32"/>
      <c r="C38" s="33" t="s">
        <v>5</v>
      </c>
      <c r="D38" s="33"/>
      <c r="H38" s="32" t="s">
        <v>3</v>
      </c>
      <c r="I38" s="32"/>
      <c r="J38" s="33" t="s">
        <v>5</v>
      </c>
      <c r="K38" s="33"/>
      <c r="N38"/>
      <c r="O38"/>
    </row>
    <row r="39" spans="1:15" x14ac:dyDescent="0.25">
      <c r="A39" s="32" t="s">
        <v>5</v>
      </c>
      <c r="B39" s="32"/>
      <c r="C39" s="33" t="s">
        <v>4</v>
      </c>
      <c r="D39" s="33"/>
      <c r="H39" s="32" t="s">
        <v>5</v>
      </c>
      <c r="I39" s="32"/>
      <c r="J39" s="33" t="s">
        <v>4</v>
      </c>
      <c r="K39" s="33"/>
      <c r="N39"/>
      <c r="O39"/>
    </row>
    <row r="40" spans="1:15" x14ac:dyDescent="0.25">
      <c r="A40" s="32" t="s">
        <v>2</v>
      </c>
      <c r="B40" s="32"/>
      <c r="C40" s="33" t="s">
        <v>3</v>
      </c>
      <c r="D40" s="33"/>
      <c r="H40" s="32" t="s">
        <v>2</v>
      </c>
      <c r="I40" s="32"/>
      <c r="J40" s="33" t="s">
        <v>3</v>
      </c>
      <c r="K40" s="33"/>
      <c r="N40"/>
      <c r="O40"/>
    </row>
    <row r="41" spans="1:15" x14ac:dyDescent="0.25">
      <c r="A41" s="39" t="s">
        <v>4</v>
      </c>
      <c r="B41" s="39"/>
      <c r="C41" s="40" t="s">
        <v>3</v>
      </c>
      <c r="D41" s="40"/>
      <c r="H41" s="39" t="s">
        <v>4</v>
      </c>
      <c r="I41" s="39"/>
      <c r="J41" s="40" t="s">
        <v>3</v>
      </c>
      <c r="K41" s="40"/>
      <c r="N41"/>
      <c r="O41"/>
    </row>
    <row r="42" spans="1:15" ht="15.75" thickBot="1" x14ac:dyDescent="0.3">
      <c r="A42" s="46" t="s">
        <v>2</v>
      </c>
      <c r="B42" s="46"/>
      <c r="C42" s="47" t="s">
        <v>5</v>
      </c>
      <c r="D42" s="47"/>
      <c r="H42" s="46" t="s">
        <v>2</v>
      </c>
      <c r="I42" s="46"/>
      <c r="J42" s="47" t="s">
        <v>5</v>
      </c>
      <c r="K42" s="47"/>
      <c r="N42"/>
      <c r="O42"/>
    </row>
    <row r="43" spans="1:15" x14ac:dyDescent="0.25">
      <c r="A43" s="24" t="s">
        <v>2</v>
      </c>
      <c r="B43" s="24"/>
      <c r="C43" s="25" t="s">
        <v>1</v>
      </c>
      <c r="D43" s="25"/>
      <c r="H43" s="24" t="s">
        <v>2</v>
      </c>
      <c r="I43" s="24"/>
      <c r="J43" s="25" t="s">
        <v>1</v>
      </c>
      <c r="K43" s="25"/>
      <c r="N43"/>
      <c r="O43"/>
    </row>
    <row r="44" spans="1:15" x14ac:dyDescent="0.25">
      <c r="A44" s="32" t="s">
        <v>4</v>
      </c>
      <c r="B44" s="32"/>
      <c r="C44" s="33" t="s">
        <v>5</v>
      </c>
      <c r="D44" s="33"/>
      <c r="H44" s="32" t="s">
        <v>4</v>
      </c>
      <c r="I44" s="32"/>
      <c r="J44" s="33" t="s">
        <v>5</v>
      </c>
      <c r="K44" s="33"/>
      <c r="N44"/>
      <c r="O44"/>
    </row>
    <row r="45" spans="1:15" x14ac:dyDescent="0.25">
      <c r="A45" s="32" t="s">
        <v>1</v>
      </c>
      <c r="B45" s="32"/>
      <c r="C45" s="33" t="s">
        <v>4</v>
      </c>
      <c r="D45" s="33"/>
      <c r="H45" s="32" t="s">
        <v>1</v>
      </c>
      <c r="I45" s="32"/>
      <c r="J45" s="33" t="s">
        <v>4</v>
      </c>
      <c r="K45" s="33"/>
      <c r="N45"/>
      <c r="O45"/>
    </row>
    <row r="46" spans="1:15" x14ac:dyDescent="0.25">
      <c r="A46" s="32" t="s">
        <v>2</v>
      </c>
      <c r="B46" s="32"/>
      <c r="C46" s="33" t="s">
        <v>5</v>
      </c>
      <c r="D46" s="33"/>
      <c r="H46" s="32" t="s">
        <v>2</v>
      </c>
      <c r="I46" s="32"/>
      <c r="J46" s="33" t="s">
        <v>5</v>
      </c>
      <c r="K46" s="33"/>
      <c r="N46"/>
      <c r="O46"/>
    </row>
    <row r="47" spans="1:15" x14ac:dyDescent="0.25">
      <c r="A47" s="39" t="s">
        <v>5</v>
      </c>
      <c r="B47" s="39"/>
      <c r="C47" s="40" t="s">
        <v>1</v>
      </c>
      <c r="D47" s="40"/>
      <c r="H47" s="39" t="s">
        <v>5</v>
      </c>
      <c r="I47" s="39"/>
      <c r="J47" s="40" t="s">
        <v>1</v>
      </c>
      <c r="K47" s="40"/>
      <c r="N47"/>
      <c r="O47"/>
    </row>
    <row r="48" spans="1:15" ht="15.75" thickBot="1" x14ac:dyDescent="0.3">
      <c r="A48" s="46" t="s">
        <v>2</v>
      </c>
      <c r="B48" s="46"/>
      <c r="C48" s="47" t="s">
        <v>4</v>
      </c>
      <c r="D48" s="47"/>
      <c r="H48" s="46" t="s">
        <v>2</v>
      </c>
      <c r="I48" s="46"/>
      <c r="J48" s="47" t="s">
        <v>4</v>
      </c>
      <c r="K48" s="47"/>
      <c r="N48"/>
      <c r="O48"/>
    </row>
    <row r="49" spans="14:15" x14ac:dyDescent="0.25">
      <c r="N49"/>
      <c r="O49"/>
    </row>
    <row r="50" spans="14:15" x14ac:dyDescent="0.25">
      <c r="N50"/>
      <c r="O50"/>
    </row>
  </sheetData>
  <sortState ref="A4:Q9">
    <sortCondition descending="1" ref="Q4:Q9"/>
    <sortCondition descending="1" ref="P4:P9"/>
  </sortState>
  <mergeCells count="2">
    <mergeCell ref="D1:I1"/>
    <mergeCell ref="J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77"/>
  <sheetViews>
    <sheetView showGridLines="0" zoomScale="120" zoomScaleNormal="120" workbookViewId="0">
      <selection activeCell="B4" sqref="B4:O11"/>
    </sheetView>
  </sheetViews>
  <sheetFormatPr defaultRowHeight="15" x14ac:dyDescent="0.25"/>
  <cols>
    <col min="1" max="1" width="1.7109375" style="1" customWidth="1"/>
    <col min="2" max="3" width="9.140625" style="1"/>
    <col min="4" max="4" width="10" style="1" customWidth="1"/>
    <col min="5" max="5" width="9.42578125" style="130" customWidth="1"/>
    <col min="6" max="6" width="9.140625" style="1" customWidth="1"/>
    <col min="7" max="7" width="9.140625" style="130" customWidth="1"/>
    <col min="8" max="8" width="9.140625" style="1" customWidth="1"/>
    <col min="9" max="12" width="9.140625" style="3" customWidth="1"/>
    <col min="13" max="13" width="10.42578125" style="4" customWidth="1"/>
    <col min="14" max="14" width="11.140625" style="1" bestFit="1" customWidth="1"/>
    <col min="15" max="16" width="9.140625" style="1" customWidth="1"/>
    <col min="17" max="17" width="3" style="1" customWidth="1"/>
    <col min="18" max="18" width="9.140625" style="3"/>
    <col min="19" max="19" width="5.7109375" style="1" customWidth="1"/>
    <col min="20" max="20" width="14.7109375" style="1" customWidth="1"/>
    <col min="21" max="21" width="16.28515625" style="1" customWidth="1"/>
    <col min="22" max="22" width="5.28515625" style="1" customWidth="1"/>
    <col min="23" max="23" width="6.5703125" style="1" customWidth="1"/>
    <col min="24" max="24" width="5.85546875" style="1" customWidth="1"/>
    <col min="25" max="25" width="9.7109375" style="1" bestFit="1" customWidth="1"/>
    <col min="26" max="26" width="6.28515625" style="1" customWidth="1"/>
    <col min="27" max="27" width="11.28515625" style="1" bestFit="1" customWidth="1"/>
    <col min="28" max="16384" width="9.140625" style="1"/>
  </cols>
  <sheetData>
    <row r="1" spans="2:27" x14ac:dyDescent="0.25">
      <c r="T1" s="4" t="s">
        <v>152</v>
      </c>
    </row>
    <row r="2" spans="2:27" ht="23.25" x14ac:dyDescent="0.35">
      <c r="B2" s="223" t="s">
        <v>172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191"/>
      <c r="O2" s="191"/>
      <c r="P2" s="191"/>
      <c r="Q2" s="191"/>
      <c r="T2" s="102" t="s">
        <v>151</v>
      </c>
      <c r="U2" s="102" t="s">
        <v>150</v>
      </c>
      <c r="V2"/>
      <c r="W2"/>
      <c r="X2"/>
      <c r="Y2"/>
      <c r="Z2"/>
      <c r="AA2"/>
    </row>
    <row r="3" spans="2:27" s="3" customFormat="1" x14ac:dyDescent="0.25">
      <c r="D3" s="3">
        <v>1</v>
      </c>
      <c r="E3" s="132">
        <v>2</v>
      </c>
      <c r="F3" s="3">
        <v>3</v>
      </c>
      <c r="G3" s="132" t="s">
        <v>106</v>
      </c>
      <c r="H3" s="3">
        <v>4</v>
      </c>
      <c r="I3" s="3">
        <v>5</v>
      </c>
      <c r="J3" s="3">
        <v>6</v>
      </c>
      <c r="K3" s="3">
        <v>7</v>
      </c>
      <c r="L3" s="3" t="s">
        <v>122</v>
      </c>
      <c r="M3" s="2"/>
      <c r="T3" s="102" t="s">
        <v>70</v>
      </c>
      <c r="U3" t="s">
        <v>0</v>
      </c>
      <c r="V3" t="s">
        <v>109</v>
      </c>
      <c r="W3" t="s">
        <v>116</v>
      </c>
      <c r="X3" t="s">
        <v>5</v>
      </c>
      <c r="Y3" t="s">
        <v>114</v>
      </c>
      <c r="Z3" t="s">
        <v>1</v>
      </c>
      <c r="AA3" t="s">
        <v>71</v>
      </c>
    </row>
    <row r="4" spans="2:27" s="130" customFormat="1" x14ac:dyDescent="0.25">
      <c r="B4" s="128"/>
      <c r="C4" s="108" t="s">
        <v>11</v>
      </c>
      <c r="D4" s="169">
        <v>42665</v>
      </c>
      <c r="E4" s="169">
        <f t="shared" ref="E4:L4" si="0">D4+7</f>
        <v>42672</v>
      </c>
      <c r="F4" s="169">
        <f t="shared" si="0"/>
        <v>42679</v>
      </c>
      <c r="G4" s="169">
        <f t="shared" si="0"/>
        <v>42686</v>
      </c>
      <c r="H4" s="170">
        <f t="shared" si="0"/>
        <v>42693</v>
      </c>
      <c r="I4" s="169">
        <f t="shared" si="0"/>
        <v>42700</v>
      </c>
      <c r="J4" s="169">
        <f t="shared" si="0"/>
        <v>42707</v>
      </c>
      <c r="K4" s="169">
        <f t="shared" si="0"/>
        <v>42714</v>
      </c>
      <c r="L4" s="170">
        <f t="shared" si="0"/>
        <v>42721</v>
      </c>
      <c r="M4" s="129" t="s">
        <v>12</v>
      </c>
      <c r="N4" s="131" t="s">
        <v>14</v>
      </c>
      <c r="P4" s="132"/>
      <c r="Q4" s="132"/>
      <c r="T4" s="4" t="s">
        <v>0</v>
      </c>
      <c r="U4" s="103"/>
      <c r="V4" s="103">
        <v>2</v>
      </c>
      <c r="W4" s="103">
        <v>2</v>
      </c>
      <c r="X4" s="103">
        <v>2</v>
      </c>
      <c r="Y4" s="103">
        <v>1</v>
      </c>
      <c r="Z4" s="103">
        <v>2</v>
      </c>
      <c r="AA4" s="103">
        <v>9</v>
      </c>
    </row>
    <row r="5" spans="2:27" s="130" customFormat="1" x14ac:dyDescent="0.25">
      <c r="B5" s="133">
        <v>1</v>
      </c>
      <c r="C5" s="109" t="s">
        <v>157</v>
      </c>
      <c r="D5" s="141" t="s">
        <v>41</v>
      </c>
      <c r="E5" s="141" t="s">
        <v>41</v>
      </c>
      <c r="F5" s="141" t="s">
        <v>41</v>
      </c>
      <c r="G5" s="249" t="s">
        <v>173</v>
      </c>
      <c r="H5" s="231" t="s">
        <v>162</v>
      </c>
      <c r="I5" s="249" t="s">
        <v>173</v>
      </c>
      <c r="J5" s="109" t="s">
        <v>41</v>
      </c>
      <c r="K5" s="109" t="s">
        <v>41</v>
      </c>
      <c r="L5" s="228" t="s">
        <v>121</v>
      </c>
      <c r="M5" s="109">
        <f t="shared" ref="M5:M10" si="1">COUNTIF(D5:L5,"Playing")</f>
        <v>5</v>
      </c>
      <c r="N5" s="131" t="s">
        <v>16</v>
      </c>
      <c r="P5" s="132"/>
      <c r="Q5" s="132"/>
      <c r="T5" s="4" t="s">
        <v>109</v>
      </c>
      <c r="U5" s="103">
        <v>2</v>
      </c>
      <c r="V5" s="103"/>
      <c r="W5" s="103">
        <v>2</v>
      </c>
      <c r="X5" s="103">
        <v>2</v>
      </c>
      <c r="Y5" s="103">
        <v>2</v>
      </c>
      <c r="Z5" s="103">
        <v>1</v>
      </c>
      <c r="AA5" s="103">
        <v>9</v>
      </c>
    </row>
    <row r="6" spans="2:27" s="130" customFormat="1" ht="15" customHeight="1" x14ac:dyDescent="0.25">
      <c r="B6" s="142">
        <v>2</v>
      </c>
      <c r="C6" s="140" t="s">
        <v>0</v>
      </c>
      <c r="D6" s="248" t="s">
        <v>171</v>
      </c>
      <c r="E6" s="248" t="s">
        <v>171</v>
      </c>
      <c r="F6" s="140" t="s">
        <v>41</v>
      </c>
      <c r="G6" s="140" t="s">
        <v>41</v>
      </c>
      <c r="H6" s="232"/>
      <c r="I6" s="140" t="s">
        <v>41</v>
      </c>
      <c r="J6" s="249" t="s">
        <v>173</v>
      </c>
      <c r="K6" s="140" t="s">
        <v>41</v>
      </c>
      <c r="L6" s="229"/>
      <c r="M6" s="140">
        <f t="shared" si="1"/>
        <v>4</v>
      </c>
      <c r="N6" s="131" t="s">
        <v>18</v>
      </c>
      <c r="P6" s="132"/>
      <c r="Q6" s="132"/>
      <c r="T6" s="4" t="s">
        <v>123</v>
      </c>
      <c r="U6" s="103">
        <v>1</v>
      </c>
      <c r="V6" s="103">
        <v>2</v>
      </c>
      <c r="W6" s="103"/>
      <c r="X6" s="103">
        <v>1</v>
      </c>
      <c r="Y6" s="103">
        <v>1</v>
      </c>
      <c r="Z6" s="103">
        <v>2</v>
      </c>
      <c r="AA6" s="103">
        <v>7</v>
      </c>
    </row>
    <row r="7" spans="2:27" s="130" customFormat="1" x14ac:dyDescent="0.25">
      <c r="B7" s="133">
        <v>3</v>
      </c>
      <c r="C7" s="109" t="s">
        <v>1</v>
      </c>
      <c r="D7" s="109" t="s">
        <v>41</v>
      </c>
      <c r="E7" s="248" t="s">
        <v>171</v>
      </c>
      <c r="F7" s="109" t="s">
        <v>41</v>
      </c>
      <c r="G7" s="249" t="s">
        <v>173</v>
      </c>
      <c r="H7" s="232"/>
      <c r="I7" s="109" t="s">
        <v>41</v>
      </c>
      <c r="J7" s="109" t="s">
        <v>41</v>
      </c>
      <c r="K7" s="109" t="s">
        <v>41</v>
      </c>
      <c r="L7" s="229"/>
      <c r="M7" s="109">
        <f t="shared" si="1"/>
        <v>5</v>
      </c>
      <c r="N7" s="131" t="s">
        <v>19</v>
      </c>
      <c r="P7" s="132"/>
      <c r="Q7" s="132"/>
      <c r="T7" s="4" t="s">
        <v>5</v>
      </c>
      <c r="U7" s="103">
        <v>2</v>
      </c>
      <c r="V7" s="103">
        <v>2</v>
      </c>
      <c r="W7" s="103">
        <v>1</v>
      </c>
      <c r="X7" s="103"/>
      <c r="Y7" s="103">
        <v>2</v>
      </c>
      <c r="Z7" s="103">
        <v>1</v>
      </c>
      <c r="AA7" s="103">
        <v>8</v>
      </c>
    </row>
    <row r="8" spans="2:27" s="130" customFormat="1" ht="15" customHeight="1" x14ac:dyDescent="0.25">
      <c r="B8" s="142">
        <v>4</v>
      </c>
      <c r="C8" s="140" t="s">
        <v>108</v>
      </c>
      <c r="D8" s="140" t="s">
        <v>41</v>
      </c>
      <c r="E8" s="140" t="s">
        <v>41</v>
      </c>
      <c r="F8" s="140" t="s">
        <v>41</v>
      </c>
      <c r="G8" s="140" t="s">
        <v>41</v>
      </c>
      <c r="H8" s="232"/>
      <c r="I8" s="248" t="s">
        <v>171</v>
      </c>
      <c r="J8" s="140" t="s">
        <v>41</v>
      </c>
      <c r="K8" s="248" t="s">
        <v>171</v>
      </c>
      <c r="L8" s="229"/>
      <c r="M8" s="140">
        <f t="shared" si="1"/>
        <v>5</v>
      </c>
      <c r="N8" s="131" t="s">
        <v>20</v>
      </c>
      <c r="P8" s="132"/>
      <c r="Q8" s="132"/>
      <c r="T8" s="4" t="s">
        <v>114</v>
      </c>
      <c r="U8" s="103">
        <v>2</v>
      </c>
      <c r="V8" s="103">
        <v>1</v>
      </c>
      <c r="W8" s="103">
        <v>2</v>
      </c>
      <c r="X8" s="103">
        <v>1</v>
      </c>
      <c r="Y8" s="103"/>
      <c r="Z8" s="103">
        <v>1</v>
      </c>
      <c r="AA8" s="103">
        <v>7</v>
      </c>
    </row>
    <row r="9" spans="2:27" s="130" customFormat="1" ht="15" customHeight="1" x14ac:dyDescent="0.25">
      <c r="B9" s="133">
        <v>5</v>
      </c>
      <c r="C9" s="109" t="s">
        <v>113</v>
      </c>
      <c r="D9" s="109" t="s">
        <v>41</v>
      </c>
      <c r="E9" s="109" t="s">
        <v>41</v>
      </c>
      <c r="F9" s="249" t="s">
        <v>173</v>
      </c>
      <c r="G9" s="109" t="s">
        <v>41</v>
      </c>
      <c r="H9" s="232"/>
      <c r="I9" s="109" t="s">
        <v>41</v>
      </c>
      <c r="J9" s="249" t="s">
        <v>173</v>
      </c>
      <c r="K9" s="109" t="s">
        <v>41</v>
      </c>
      <c r="L9" s="229"/>
      <c r="M9" s="109">
        <f t="shared" si="1"/>
        <v>5</v>
      </c>
      <c r="N9" s="131" t="s">
        <v>22</v>
      </c>
      <c r="P9" s="132"/>
      <c r="Q9" s="132"/>
      <c r="T9" s="4" t="s">
        <v>1</v>
      </c>
      <c r="U9" s="103">
        <v>2</v>
      </c>
      <c r="V9" s="103">
        <v>2</v>
      </c>
      <c r="W9" s="103">
        <v>1</v>
      </c>
      <c r="X9" s="103">
        <v>1</v>
      </c>
      <c r="Y9" s="103">
        <v>2</v>
      </c>
      <c r="Z9" s="103"/>
      <c r="AA9" s="103">
        <v>8</v>
      </c>
    </row>
    <row r="10" spans="2:27" s="130" customFormat="1" x14ac:dyDescent="0.25">
      <c r="B10" s="142">
        <v>6</v>
      </c>
      <c r="C10" s="140" t="s">
        <v>115</v>
      </c>
      <c r="D10" s="248" t="s">
        <v>171</v>
      </c>
      <c r="E10" s="140" t="s">
        <v>41</v>
      </c>
      <c r="F10" s="249" t="s">
        <v>173</v>
      </c>
      <c r="G10" s="140" t="s">
        <v>41</v>
      </c>
      <c r="H10" s="233"/>
      <c r="I10" s="140" t="s">
        <v>41</v>
      </c>
      <c r="J10" s="140" t="s">
        <v>41</v>
      </c>
      <c r="K10" s="248" t="s">
        <v>171</v>
      </c>
      <c r="L10" s="230"/>
      <c r="M10" s="140">
        <f t="shared" si="1"/>
        <v>4</v>
      </c>
      <c r="N10" s="131" t="s">
        <v>23</v>
      </c>
      <c r="P10" s="132"/>
      <c r="Q10" s="132"/>
      <c r="T10" s="4" t="s">
        <v>71</v>
      </c>
      <c r="U10" s="103">
        <v>9</v>
      </c>
      <c r="V10" s="103">
        <v>9</v>
      </c>
      <c r="W10" s="103">
        <v>8</v>
      </c>
      <c r="X10" s="103">
        <v>7</v>
      </c>
      <c r="Y10" s="103">
        <v>8</v>
      </c>
      <c r="Z10" s="103">
        <v>7</v>
      </c>
      <c r="AA10" s="103">
        <v>48</v>
      </c>
    </row>
    <row r="11" spans="2:27" s="130" customFormat="1" ht="15.75" customHeight="1" x14ac:dyDescent="0.25">
      <c r="B11" s="227" t="s">
        <v>124</v>
      </c>
      <c r="C11" s="227"/>
      <c r="D11" s="174" t="s">
        <v>160</v>
      </c>
      <c r="E11" s="174" t="s">
        <v>167</v>
      </c>
      <c r="F11" s="174" t="s">
        <v>170</v>
      </c>
      <c r="G11" s="174" t="s">
        <v>158</v>
      </c>
      <c r="H11" s="174" t="s">
        <v>148</v>
      </c>
      <c r="I11" s="174" t="s">
        <v>168</v>
      </c>
      <c r="J11" s="174" t="s">
        <v>169</v>
      </c>
      <c r="K11" s="174" t="s">
        <v>159</v>
      </c>
      <c r="L11" s="174"/>
      <c r="M11" s="140">
        <f>SUM(M5:M10)</f>
        <v>28</v>
      </c>
      <c r="N11" s="131" t="s">
        <v>22</v>
      </c>
      <c r="P11" s="132"/>
      <c r="Q11" s="132"/>
      <c r="T11" s="4"/>
      <c r="U11" s="103"/>
      <c r="V11" s="103"/>
      <c r="W11" s="103"/>
      <c r="X11" s="103"/>
      <c r="Y11" s="103"/>
      <c r="Z11" s="103"/>
      <c r="AA11" s="103"/>
    </row>
    <row r="12" spans="2:27" s="130" customFormat="1" ht="10.5" customHeight="1" x14ac:dyDescent="0.25">
      <c r="B12" s="167"/>
      <c r="C12" s="171"/>
      <c r="D12" s="172"/>
      <c r="E12" s="173"/>
      <c r="F12" s="173"/>
      <c r="G12" s="173"/>
      <c r="H12" s="173"/>
      <c r="I12" s="173"/>
      <c r="J12" s="173"/>
      <c r="K12" s="173"/>
      <c r="L12" s="173"/>
      <c r="M12" s="168"/>
      <c r="O12" s="131"/>
      <c r="P12" s="132"/>
      <c r="Q12" s="132"/>
      <c r="T12"/>
      <c r="U12"/>
      <c r="V12"/>
    </row>
    <row r="13" spans="2:27" s="130" customFormat="1" x14ac:dyDescent="0.25">
      <c r="B13" s="128"/>
      <c r="C13" s="108" t="s">
        <v>11</v>
      </c>
      <c r="D13" s="169">
        <v>42742</v>
      </c>
      <c r="E13" s="169">
        <f t="shared" ref="E13:M13" si="2">D13+7</f>
        <v>42749</v>
      </c>
      <c r="F13" s="169">
        <f t="shared" si="2"/>
        <v>42756</v>
      </c>
      <c r="G13" s="170">
        <f t="shared" si="2"/>
        <v>42763</v>
      </c>
      <c r="H13" s="169">
        <f t="shared" si="2"/>
        <v>42770</v>
      </c>
      <c r="I13" s="169">
        <f t="shared" si="2"/>
        <v>42777</v>
      </c>
      <c r="J13" s="169">
        <f t="shared" si="2"/>
        <v>42784</v>
      </c>
      <c r="K13" s="169">
        <f t="shared" si="2"/>
        <v>42791</v>
      </c>
      <c r="L13" s="169">
        <f t="shared" si="2"/>
        <v>42798</v>
      </c>
      <c r="M13" s="170">
        <f t="shared" si="2"/>
        <v>42805</v>
      </c>
      <c r="N13" s="129" t="s">
        <v>12</v>
      </c>
      <c r="P13" s="131"/>
      <c r="Q13" s="132"/>
      <c r="R13" s="132"/>
      <c r="T13" s="4" t="s">
        <v>153</v>
      </c>
      <c r="U13"/>
      <c r="V13"/>
    </row>
    <row r="14" spans="2:27" s="130" customFormat="1" ht="15" customHeight="1" x14ac:dyDescent="0.25">
      <c r="B14" s="133">
        <v>1</v>
      </c>
      <c r="C14" s="109" t="s">
        <v>0</v>
      </c>
      <c r="D14" s="141"/>
      <c r="E14" s="141"/>
      <c r="F14" s="141"/>
      <c r="G14" s="228" t="s">
        <v>161</v>
      </c>
      <c r="H14" s="141"/>
      <c r="I14" s="141"/>
      <c r="J14" s="141"/>
      <c r="K14" s="141"/>
      <c r="L14" s="141"/>
      <c r="M14" s="141"/>
      <c r="N14" s="109">
        <f t="shared" ref="N14:N19" si="3">COUNTIF(D14:M14,"Playing")</f>
        <v>0</v>
      </c>
      <c r="P14" s="131"/>
      <c r="Q14" s="132"/>
      <c r="R14" s="132"/>
      <c r="T14" s="102" t="s">
        <v>151</v>
      </c>
      <c r="U14" s="102" t="s">
        <v>150</v>
      </c>
      <c r="V14"/>
      <c r="W14"/>
      <c r="X14"/>
      <c r="Y14"/>
      <c r="Z14"/>
      <c r="AA14"/>
    </row>
    <row r="15" spans="2:27" s="130" customFormat="1" x14ac:dyDescent="0.25">
      <c r="B15" s="142">
        <v>2</v>
      </c>
      <c r="C15" s="140" t="s">
        <v>1</v>
      </c>
      <c r="D15" s="140"/>
      <c r="E15" s="140"/>
      <c r="F15" s="140"/>
      <c r="G15" s="229"/>
      <c r="H15" s="140"/>
      <c r="I15" s="140"/>
      <c r="J15" s="140"/>
      <c r="K15" s="140"/>
      <c r="L15" s="140"/>
      <c r="M15" s="140"/>
      <c r="N15" s="140">
        <f t="shared" si="3"/>
        <v>0</v>
      </c>
      <c r="P15" s="131"/>
      <c r="Q15" s="132"/>
      <c r="R15" s="132"/>
      <c r="T15" s="102" t="s">
        <v>70</v>
      </c>
      <c r="U15" t="s">
        <v>0</v>
      </c>
      <c r="V15" t="s">
        <v>109</v>
      </c>
      <c r="W15" t="s">
        <v>116</v>
      </c>
      <c r="X15" t="s">
        <v>5</v>
      </c>
      <c r="Y15" t="s">
        <v>114</v>
      </c>
      <c r="Z15" t="s">
        <v>1</v>
      </c>
      <c r="AA15" t="s">
        <v>71</v>
      </c>
    </row>
    <row r="16" spans="2:27" s="130" customFormat="1" ht="15" customHeight="1" x14ac:dyDescent="0.25">
      <c r="B16" s="133">
        <v>3</v>
      </c>
      <c r="C16" s="109" t="s">
        <v>109</v>
      </c>
      <c r="D16" s="109"/>
      <c r="E16" s="109"/>
      <c r="F16" s="109"/>
      <c r="G16" s="229"/>
      <c r="H16" s="109"/>
      <c r="I16" s="109"/>
      <c r="J16" s="109"/>
      <c r="K16" s="109"/>
      <c r="L16" s="109"/>
      <c r="M16" s="109"/>
      <c r="N16" s="109">
        <f t="shared" si="3"/>
        <v>0</v>
      </c>
      <c r="P16" s="131"/>
      <c r="Q16" s="132"/>
      <c r="R16" s="132"/>
      <c r="T16" s="4" t="s">
        <v>0</v>
      </c>
      <c r="U16" s="103"/>
      <c r="V16" s="103">
        <v>1</v>
      </c>
      <c r="W16" s="103">
        <v>1</v>
      </c>
      <c r="X16" s="103">
        <v>1</v>
      </c>
      <c r="Y16" s="103">
        <v>2</v>
      </c>
      <c r="Z16" s="103">
        <v>1</v>
      </c>
      <c r="AA16" s="103">
        <v>6</v>
      </c>
    </row>
    <row r="17" spans="2:27" s="130" customFormat="1" ht="15" customHeight="1" x14ac:dyDescent="0.25">
      <c r="B17" s="142">
        <v>4</v>
      </c>
      <c r="C17" s="140" t="s">
        <v>108</v>
      </c>
      <c r="D17" s="140" t="s">
        <v>120</v>
      </c>
      <c r="E17" s="140" t="s">
        <v>163</v>
      </c>
      <c r="F17" s="140" t="s">
        <v>120</v>
      </c>
      <c r="G17" s="229"/>
      <c r="H17" s="140" t="s">
        <v>164</v>
      </c>
      <c r="I17" s="140" t="s">
        <v>165</v>
      </c>
      <c r="J17" s="140" t="s">
        <v>120</v>
      </c>
      <c r="K17" s="140" t="s">
        <v>120</v>
      </c>
      <c r="L17" s="140" t="s">
        <v>166</v>
      </c>
      <c r="M17" s="140"/>
      <c r="N17" s="140">
        <f t="shared" si="3"/>
        <v>0</v>
      </c>
      <c r="P17" s="131"/>
      <c r="Q17" s="132"/>
      <c r="R17" s="132"/>
      <c r="T17" s="4" t="s">
        <v>109</v>
      </c>
      <c r="U17" s="103">
        <v>1</v>
      </c>
      <c r="V17" s="103"/>
      <c r="W17" s="103">
        <v>1</v>
      </c>
      <c r="X17" s="103">
        <v>1</v>
      </c>
      <c r="Y17" s="103">
        <v>1</v>
      </c>
      <c r="Z17" s="103">
        <v>2</v>
      </c>
      <c r="AA17" s="103">
        <v>6</v>
      </c>
    </row>
    <row r="18" spans="2:27" s="130" customFormat="1" x14ac:dyDescent="0.25">
      <c r="B18" s="133">
        <v>5</v>
      </c>
      <c r="C18" s="109" t="s">
        <v>113</v>
      </c>
      <c r="D18" s="109"/>
      <c r="E18" s="109"/>
      <c r="F18" s="109"/>
      <c r="G18" s="229"/>
      <c r="H18" s="109"/>
      <c r="I18" s="109"/>
      <c r="J18" s="109"/>
      <c r="K18" s="109"/>
      <c r="L18" s="109"/>
      <c r="M18" s="109"/>
      <c r="N18" s="109">
        <f t="shared" si="3"/>
        <v>0</v>
      </c>
      <c r="P18" s="131"/>
      <c r="Q18" s="132"/>
      <c r="R18" s="132"/>
      <c r="T18" s="4" t="s">
        <v>116</v>
      </c>
      <c r="U18" s="103">
        <v>2</v>
      </c>
      <c r="V18" s="103">
        <v>1</v>
      </c>
      <c r="W18" s="103"/>
      <c r="X18" s="103">
        <v>2</v>
      </c>
      <c r="Y18" s="103">
        <v>2</v>
      </c>
      <c r="Z18" s="103">
        <v>1</v>
      </c>
      <c r="AA18" s="103">
        <v>8</v>
      </c>
    </row>
    <row r="19" spans="2:27" s="130" customFormat="1" x14ac:dyDescent="0.25">
      <c r="B19" s="142">
        <v>6</v>
      </c>
      <c r="C19" s="140" t="s">
        <v>115</v>
      </c>
      <c r="D19" s="140"/>
      <c r="E19" s="140"/>
      <c r="F19" s="140"/>
      <c r="G19" s="230"/>
      <c r="H19" s="140"/>
      <c r="I19" s="140"/>
      <c r="J19" s="140"/>
      <c r="K19" s="140"/>
      <c r="L19" s="140"/>
      <c r="M19" s="140"/>
      <c r="N19" s="140">
        <f t="shared" si="3"/>
        <v>0</v>
      </c>
      <c r="Q19" s="132"/>
      <c r="R19" s="132"/>
      <c r="T19" s="4" t="s">
        <v>5</v>
      </c>
      <c r="U19" s="103">
        <v>1</v>
      </c>
      <c r="V19" s="103">
        <v>1</v>
      </c>
      <c r="W19" s="103">
        <v>2</v>
      </c>
      <c r="X19" s="103"/>
      <c r="Y19" s="103">
        <v>1</v>
      </c>
      <c r="Z19" s="103">
        <v>2</v>
      </c>
      <c r="AA19" s="103">
        <v>7</v>
      </c>
    </row>
    <row r="20" spans="2:27" s="130" customFormat="1" x14ac:dyDescent="0.25">
      <c r="B20" s="227" t="s">
        <v>124</v>
      </c>
      <c r="C20" s="227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40">
        <f>SUM(M14:M19)</f>
        <v>0</v>
      </c>
      <c r="O20" s="168"/>
      <c r="R20" s="132"/>
      <c r="S20" s="132"/>
      <c r="T20" s="4" t="s">
        <v>114</v>
      </c>
      <c r="U20" s="103">
        <v>1</v>
      </c>
      <c r="V20" s="103">
        <v>2</v>
      </c>
      <c r="W20" s="103">
        <v>1</v>
      </c>
      <c r="X20" s="103">
        <v>2</v>
      </c>
      <c r="Y20" s="103"/>
      <c r="Z20" s="103">
        <v>2</v>
      </c>
      <c r="AA20" s="103">
        <v>8</v>
      </c>
    </row>
    <row r="21" spans="2:27" s="14" customFormat="1" ht="15.75" thickBot="1" x14ac:dyDescent="0.3">
      <c r="B21" s="167"/>
      <c r="C21" s="168"/>
      <c r="D21" s="158"/>
      <c r="E21" s="168"/>
      <c r="F21" s="168"/>
      <c r="G21" s="168"/>
      <c r="H21" s="168"/>
      <c r="I21" s="168"/>
      <c r="J21" s="168"/>
      <c r="K21" s="168"/>
      <c r="L21" s="168"/>
      <c r="M21" s="168"/>
      <c r="T21" s="4" t="s">
        <v>1</v>
      </c>
      <c r="U21" s="103">
        <v>1</v>
      </c>
      <c r="V21" s="103">
        <v>1</v>
      </c>
      <c r="W21" s="103">
        <v>2</v>
      </c>
      <c r="X21" s="103">
        <v>2</v>
      </c>
      <c r="Y21" s="103">
        <v>1</v>
      </c>
      <c r="Z21" s="103"/>
      <c r="AA21" s="103">
        <v>7</v>
      </c>
    </row>
    <row r="22" spans="2:27" ht="30.75" thickBot="1" x14ac:dyDescent="0.3">
      <c r="B22" s="14"/>
      <c r="C22" s="15" t="s">
        <v>25</v>
      </c>
      <c r="D22" s="16" t="s">
        <v>65</v>
      </c>
      <c r="E22" s="175" t="s">
        <v>105</v>
      </c>
      <c r="F22" s="17" t="s">
        <v>56</v>
      </c>
      <c r="G22" s="186" t="s">
        <v>105</v>
      </c>
      <c r="H22" s="137" t="s">
        <v>30</v>
      </c>
      <c r="I22" s="137" t="s">
        <v>105</v>
      </c>
      <c r="J22" s="19" t="s">
        <v>31</v>
      </c>
      <c r="K22" s="20" t="s">
        <v>32</v>
      </c>
      <c r="L22" s="192" t="s">
        <v>47</v>
      </c>
      <c r="M22" s="192" t="s">
        <v>84</v>
      </c>
      <c r="N22" s="192" t="s">
        <v>49</v>
      </c>
      <c r="R22" s="1"/>
      <c r="T22" s="4" t="s">
        <v>71</v>
      </c>
      <c r="U22" s="103">
        <v>6</v>
      </c>
      <c r="V22" s="103">
        <v>6</v>
      </c>
      <c r="W22" s="103">
        <v>7</v>
      </c>
      <c r="X22" s="103">
        <v>8</v>
      </c>
      <c r="Y22" s="103">
        <v>7</v>
      </c>
      <c r="Z22" s="103">
        <v>8</v>
      </c>
      <c r="AA22" s="103">
        <v>42</v>
      </c>
    </row>
    <row r="23" spans="2:27" x14ac:dyDescent="0.25">
      <c r="B23" s="22">
        <v>43030</v>
      </c>
      <c r="C23" s="150">
        <v>0.5625</v>
      </c>
      <c r="D23" s="24" t="s">
        <v>1</v>
      </c>
      <c r="E23" s="176"/>
      <c r="F23" s="155" t="s">
        <v>123</v>
      </c>
      <c r="G23" s="176"/>
      <c r="H23" s="34" t="s">
        <v>5</v>
      </c>
      <c r="I23" s="34" t="s">
        <v>5</v>
      </c>
      <c r="J23" s="138"/>
      <c r="K23" s="156"/>
      <c r="L23" s="192" t="s">
        <v>5</v>
      </c>
      <c r="M23" s="192" t="s">
        <v>123</v>
      </c>
      <c r="N23" s="192"/>
      <c r="R23" s="1"/>
      <c r="T23"/>
      <c r="U23"/>
      <c r="V23"/>
    </row>
    <row r="24" spans="2:27" x14ac:dyDescent="0.25">
      <c r="B24" s="37">
        <v>43030</v>
      </c>
      <c r="C24" s="151">
        <v>0.58333333333333337</v>
      </c>
      <c r="D24" s="32" t="s">
        <v>5</v>
      </c>
      <c r="E24" s="177"/>
      <c r="F24" s="157" t="s">
        <v>1</v>
      </c>
      <c r="G24" s="177"/>
      <c r="H24" s="34" t="s">
        <v>123</v>
      </c>
      <c r="I24" s="34" t="s">
        <v>123</v>
      </c>
      <c r="J24" s="159"/>
      <c r="K24" s="160"/>
      <c r="L24" s="192" t="s">
        <v>0</v>
      </c>
      <c r="M24" s="192" t="s">
        <v>109</v>
      </c>
      <c r="N24" s="192"/>
      <c r="R24" s="1"/>
      <c r="U24"/>
      <c r="V24"/>
      <c r="W24"/>
    </row>
    <row r="25" spans="2:27" x14ac:dyDescent="0.25">
      <c r="B25" s="37">
        <v>43030</v>
      </c>
      <c r="C25" s="151">
        <v>0.60416666666666663</v>
      </c>
      <c r="D25" s="32" t="s">
        <v>157</v>
      </c>
      <c r="E25" s="177"/>
      <c r="F25" s="157" t="s">
        <v>123</v>
      </c>
      <c r="G25" s="177"/>
      <c r="H25" s="34" t="s">
        <v>5</v>
      </c>
      <c r="I25" s="34" t="s">
        <v>5</v>
      </c>
      <c r="J25" s="159"/>
      <c r="K25" s="160"/>
      <c r="L25" s="192" t="s">
        <v>109</v>
      </c>
      <c r="M25" s="192" t="s">
        <v>123</v>
      </c>
      <c r="N25" s="192"/>
      <c r="R25" s="1"/>
      <c r="U25"/>
      <c r="V25"/>
      <c r="W25"/>
    </row>
    <row r="26" spans="2:27" x14ac:dyDescent="0.25">
      <c r="B26" s="37">
        <v>43030</v>
      </c>
      <c r="C26" s="151">
        <v>0.625</v>
      </c>
      <c r="D26" s="32" t="s">
        <v>157</v>
      </c>
      <c r="E26" s="177"/>
      <c r="F26" s="157" t="s">
        <v>5</v>
      </c>
      <c r="G26" s="177"/>
      <c r="H26" s="34" t="s">
        <v>1</v>
      </c>
      <c r="I26" s="34" t="s">
        <v>1</v>
      </c>
      <c r="J26" s="159"/>
      <c r="K26" s="160"/>
      <c r="L26" s="192" t="s">
        <v>5</v>
      </c>
      <c r="M26" s="192" t="s">
        <v>0</v>
      </c>
      <c r="N26" s="192"/>
      <c r="R26" s="1"/>
      <c r="U26"/>
      <c r="V26"/>
      <c r="W26"/>
    </row>
    <row r="27" spans="2:27" x14ac:dyDescent="0.25">
      <c r="B27" s="37">
        <v>43030</v>
      </c>
      <c r="C27" s="152">
        <v>0.64583333333333337</v>
      </c>
      <c r="D27" s="39" t="s">
        <v>1</v>
      </c>
      <c r="E27" s="177"/>
      <c r="F27" s="98" t="s">
        <v>5</v>
      </c>
      <c r="G27" s="177"/>
      <c r="H27" s="41" t="s">
        <v>123</v>
      </c>
      <c r="I27" s="34" t="s">
        <v>123</v>
      </c>
      <c r="J27" s="161"/>
      <c r="K27" s="162"/>
      <c r="L27" s="192" t="s">
        <v>5</v>
      </c>
      <c r="M27" s="192" t="s">
        <v>109</v>
      </c>
      <c r="N27" s="192"/>
      <c r="R27" s="1"/>
      <c r="U27"/>
      <c r="V27"/>
      <c r="W27"/>
    </row>
    <row r="28" spans="2:27" ht="15.75" thickBot="1" x14ac:dyDescent="0.3">
      <c r="B28" s="44">
        <v>43030</v>
      </c>
      <c r="C28" s="153">
        <v>0.66666666666666663</v>
      </c>
      <c r="D28" s="46" t="s">
        <v>123</v>
      </c>
      <c r="E28" s="163"/>
      <c r="F28" s="164" t="s">
        <v>157</v>
      </c>
      <c r="G28" s="180"/>
      <c r="H28" s="48" t="s">
        <v>1</v>
      </c>
      <c r="I28" s="48" t="s">
        <v>1</v>
      </c>
      <c r="J28" s="165"/>
      <c r="K28" s="166"/>
      <c r="L28" s="192" t="s">
        <v>0</v>
      </c>
      <c r="M28" s="192" t="s">
        <v>123</v>
      </c>
      <c r="N28" s="192"/>
      <c r="R28" s="1"/>
      <c r="U28"/>
      <c r="V28"/>
      <c r="W28"/>
    </row>
    <row r="29" spans="2:27" ht="15.75" hidden="1" thickBot="1" x14ac:dyDescent="0.3">
      <c r="B29" s="22">
        <v>42757</v>
      </c>
      <c r="C29" s="150">
        <v>0.5625</v>
      </c>
      <c r="D29" s="24"/>
      <c r="E29" s="176"/>
      <c r="F29" s="155"/>
      <c r="G29" s="176"/>
      <c r="H29" s="34"/>
      <c r="I29" s="34"/>
      <c r="J29" s="138"/>
      <c r="K29" s="156"/>
      <c r="L29" s="192" t="s">
        <v>5</v>
      </c>
      <c r="M29" s="192" t="s">
        <v>123</v>
      </c>
      <c r="N29" s="192"/>
      <c r="R29" s="1"/>
      <c r="U29"/>
      <c r="V29"/>
      <c r="W29"/>
    </row>
    <row r="30" spans="2:27" ht="15.75" hidden="1" thickBot="1" x14ac:dyDescent="0.3">
      <c r="B30" s="37">
        <v>42757</v>
      </c>
      <c r="C30" s="151">
        <v>0.58333333333333337</v>
      </c>
      <c r="D30" s="32"/>
      <c r="E30" s="177"/>
      <c r="F30" s="157"/>
      <c r="G30" s="177"/>
      <c r="H30" s="34"/>
      <c r="I30" s="34"/>
      <c r="J30" s="159"/>
      <c r="K30" s="160"/>
      <c r="L30" s="192" t="s">
        <v>114</v>
      </c>
      <c r="M30" s="192" t="s">
        <v>109</v>
      </c>
      <c r="N30" s="192"/>
      <c r="R30" s="1"/>
      <c r="U30"/>
      <c r="V30"/>
      <c r="W30"/>
    </row>
    <row r="31" spans="2:27" ht="15.75" hidden="1" thickBot="1" x14ac:dyDescent="0.3">
      <c r="B31" s="37">
        <v>42757</v>
      </c>
      <c r="C31" s="151">
        <v>0.60416666666666663</v>
      </c>
      <c r="D31" s="32"/>
      <c r="E31" s="177"/>
      <c r="F31" s="157"/>
      <c r="G31" s="177"/>
      <c r="H31" s="34"/>
      <c r="I31" s="34"/>
      <c r="J31" s="159"/>
      <c r="K31" s="160"/>
      <c r="L31" s="192" t="s">
        <v>114</v>
      </c>
      <c r="M31" s="192" t="s">
        <v>5</v>
      </c>
      <c r="N31" s="192"/>
      <c r="R31" s="1"/>
      <c r="U31"/>
      <c r="V31"/>
      <c r="W31"/>
    </row>
    <row r="32" spans="2:27" ht="15.75" hidden="1" thickBot="1" x14ac:dyDescent="0.3">
      <c r="B32" s="37">
        <v>42757</v>
      </c>
      <c r="C32" s="151">
        <v>0.625</v>
      </c>
      <c r="D32" s="32"/>
      <c r="E32" s="177"/>
      <c r="F32" s="157"/>
      <c r="G32" s="177"/>
      <c r="H32" s="34"/>
      <c r="I32" s="34"/>
      <c r="J32" s="159"/>
      <c r="K32" s="160"/>
      <c r="L32" s="192" t="s">
        <v>123</v>
      </c>
      <c r="M32" s="192" t="s">
        <v>109</v>
      </c>
      <c r="N32" s="192"/>
      <c r="R32" s="1"/>
    </row>
    <row r="33" spans="2:18" ht="15.75" hidden="1" thickBot="1" x14ac:dyDescent="0.3">
      <c r="B33" s="37">
        <v>42757</v>
      </c>
      <c r="C33" s="152">
        <v>0.64583333333333337</v>
      </c>
      <c r="D33" s="39"/>
      <c r="E33" s="177"/>
      <c r="F33" s="98"/>
      <c r="G33" s="177"/>
      <c r="H33" s="41"/>
      <c r="I33" s="41"/>
      <c r="J33" s="161"/>
      <c r="K33" s="162"/>
      <c r="L33" s="192" t="s">
        <v>114</v>
      </c>
      <c r="M33" s="192" t="s">
        <v>123</v>
      </c>
      <c r="N33" s="192"/>
      <c r="R33" s="1"/>
    </row>
    <row r="34" spans="2:18" ht="15.75" hidden="1" thickBot="1" x14ac:dyDescent="0.3">
      <c r="B34" s="44">
        <v>42757</v>
      </c>
      <c r="C34" s="153">
        <v>0.66666666666666663</v>
      </c>
      <c r="D34" s="46"/>
      <c r="E34" s="163"/>
      <c r="F34" s="164"/>
      <c r="G34" s="180"/>
      <c r="H34" s="48"/>
      <c r="I34" s="48"/>
      <c r="J34" s="165"/>
      <c r="K34" s="166"/>
      <c r="L34" s="192" t="s">
        <v>5</v>
      </c>
      <c r="M34" s="192" t="s">
        <v>109</v>
      </c>
      <c r="N34" s="192"/>
      <c r="R34" s="1"/>
    </row>
    <row r="35" spans="2:18" x14ac:dyDescent="0.25">
      <c r="B35" s="22">
        <v>43037</v>
      </c>
      <c r="C35" s="150">
        <v>0.5625</v>
      </c>
      <c r="D35" s="24"/>
      <c r="E35" s="176"/>
      <c r="F35" s="155"/>
      <c r="G35" s="176"/>
      <c r="H35" s="34"/>
      <c r="I35" s="34"/>
      <c r="J35" s="138"/>
      <c r="K35" s="156"/>
      <c r="L35" s="192" t="s">
        <v>114</v>
      </c>
      <c r="M35" s="192" t="s">
        <v>123</v>
      </c>
      <c r="N35" s="192"/>
      <c r="R35" s="1"/>
    </row>
    <row r="36" spans="2:18" x14ac:dyDescent="0.25">
      <c r="B36" s="37">
        <v>43037</v>
      </c>
      <c r="C36" s="151">
        <v>0.58333333333333337</v>
      </c>
      <c r="D36" s="32"/>
      <c r="E36" s="177"/>
      <c r="F36" s="157"/>
      <c r="G36" s="177"/>
      <c r="H36" s="34"/>
      <c r="I36" s="34"/>
      <c r="J36" s="159"/>
      <c r="K36" s="160"/>
      <c r="L36" s="192" t="s">
        <v>0</v>
      </c>
      <c r="M36" s="192" t="s">
        <v>1</v>
      </c>
      <c r="N36" s="192"/>
      <c r="R36" s="1"/>
    </row>
    <row r="37" spans="2:18" x14ac:dyDescent="0.25">
      <c r="B37" s="37">
        <v>43037</v>
      </c>
      <c r="C37" s="151">
        <v>0.60416666666666663</v>
      </c>
      <c r="D37" s="32"/>
      <c r="E37" s="177"/>
      <c r="F37" s="157"/>
      <c r="G37" s="177"/>
      <c r="H37" s="34"/>
      <c r="I37" s="34"/>
      <c r="J37" s="159"/>
      <c r="K37" s="160"/>
      <c r="L37" s="192" t="s">
        <v>1</v>
      </c>
      <c r="M37" s="192" t="s">
        <v>123</v>
      </c>
      <c r="N37" s="192"/>
      <c r="R37" s="1"/>
    </row>
    <row r="38" spans="2:18" x14ac:dyDescent="0.25">
      <c r="B38" s="37">
        <v>43037</v>
      </c>
      <c r="C38" s="151">
        <v>0.625</v>
      </c>
      <c r="D38" s="32"/>
      <c r="E38" s="177"/>
      <c r="F38" s="157"/>
      <c r="G38" s="177"/>
      <c r="H38" s="34"/>
      <c r="I38" s="34"/>
      <c r="J38" s="159"/>
      <c r="K38" s="160"/>
      <c r="L38" s="192" t="s">
        <v>0</v>
      </c>
      <c r="M38" s="192" t="s">
        <v>114</v>
      </c>
      <c r="N38" s="192"/>
      <c r="R38" s="1"/>
    </row>
    <row r="39" spans="2:18" x14ac:dyDescent="0.25">
      <c r="B39" s="37">
        <v>43037</v>
      </c>
      <c r="C39" s="152">
        <v>0.64583333333333337</v>
      </c>
      <c r="D39" s="39"/>
      <c r="E39" s="177"/>
      <c r="F39" s="98"/>
      <c r="G39" s="177"/>
      <c r="H39" s="41"/>
      <c r="I39" s="34"/>
      <c r="J39" s="161"/>
      <c r="K39" s="162"/>
      <c r="L39" s="192" t="s">
        <v>0</v>
      </c>
      <c r="M39" s="192" t="s">
        <v>123</v>
      </c>
      <c r="N39" s="192"/>
      <c r="R39" s="1"/>
    </row>
    <row r="40" spans="2:18" ht="15.75" thickBot="1" x14ac:dyDescent="0.3">
      <c r="B40" s="44">
        <v>43037</v>
      </c>
      <c r="C40" s="153">
        <v>0.66666666666666663</v>
      </c>
      <c r="D40" s="46"/>
      <c r="E40" s="163"/>
      <c r="F40" s="164"/>
      <c r="G40" s="180"/>
      <c r="H40" s="48"/>
      <c r="I40" s="48"/>
      <c r="J40" s="165"/>
      <c r="K40" s="166"/>
      <c r="L40" s="192" t="s">
        <v>1</v>
      </c>
      <c r="M40" s="192" t="s">
        <v>114</v>
      </c>
      <c r="N40" s="192"/>
      <c r="R40" s="1"/>
    </row>
    <row r="41" spans="2:18" x14ac:dyDescent="0.25">
      <c r="B41" s="22">
        <v>43044</v>
      </c>
      <c r="C41" s="150">
        <v>0.5625</v>
      </c>
      <c r="D41" s="24"/>
      <c r="E41" s="176"/>
      <c r="F41" s="155"/>
      <c r="G41" s="176"/>
      <c r="H41" s="34"/>
      <c r="I41" s="34"/>
      <c r="J41" s="138"/>
      <c r="K41" s="156"/>
      <c r="L41" s="192" t="s">
        <v>0</v>
      </c>
      <c r="M41" s="192" t="s">
        <v>1</v>
      </c>
      <c r="N41" s="192"/>
      <c r="R41" s="1"/>
    </row>
    <row r="42" spans="2:18" x14ac:dyDescent="0.25">
      <c r="B42" s="37">
        <v>43044</v>
      </c>
      <c r="C42" s="151">
        <v>0.58333333333333337</v>
      </c>
      <c r="D42" s="32"/>
      <c r="E42" s="177"/>
      <c r="F42" s="157"/>
      <c r="G42" s="177"/>
      <c r="H42" s="34"/>
      <c r="I42" s="34"/>
      <c r="J42" s="159"/>
      <c r="K42" s="160"/>
      <c r="L42" s="192" t="s">
        <v>109</v>
      </c>
      <c r="M42" s="192" t="s">
        <v>123</v>
      </c>
      <c r="N42" s="192"/>
      <c r="R42" s="1"/>
    </row>
    <row r="43" spans="2:18" x14ac:dyDescent="0.25">
      <c r="B43" s="37">
        <v>43044</v>
      </c>
      <c r="C43" s="151">
        <v>0.60416666666666663</v>
      </c>
      <c r="D43" s="32"/>
      <c r="E43" s="177"/>
      <c r="F43" s="157"/>
      <c r="G43" s="177"/>
      <c r="H43" s="34"/>
      <c r="I43" s="34"/>
      <c r="J43" s="159"/>
      <c r="K43" s="160"/>
      <c r="L43" s="192" t="s">
        <v>123</v>
      </c>
      <c r="M43" s="192" t="s">
        <v>0</v>
      </c>
      <c r="N43" s="192"/>
      <c r="R43" s="1"/>
    </row>
    <row r="44" spans="2:18" x14ac:dyDescent="0.25">
      <c r="B44" s="37">
        <v>43044</v>
      </c>
      <c r="C44" s="151">
        <v>0.625</v>
      </c>
      <c r="D44" s="32"/>
      <c r="E44" s="177"/>
      <c r="F44" s="157"/>
      <c r="G44" s="177"/>
      <c r="H44" s="34"/>
      <c r="I44" s="34"/>
      <c r="J44" s="159"/>
      <c r="K44" s="160"/>
      <c r="L44" s="192" t="s">
        <v>109</v>
      </c>
      <c r="M44" s="192" t="s">
        <v>1</v>
      </c>
      <c r="N44" s="192"/>
      <c r="R44" s="1"/>
    </row>
    <row r="45" spans="2:18" x14ac:dyDescent="0.25">
      <c r="B45" s="37">
        <v>43044</v>
      </c>
      <c r="C45" s="152">
        <v>0.64583333333333337</v>
      </c>
      <c r="D45" s="39"/>
      <c r="E45" s="177"/>
      <c r="F45" s="98"/>
      <c r="G45" s="177"/>
      <c r="H45" s="41"/>
      <c r="I45" s="34"/>
      <c r="J45" s="161"/>
      <c r="K45" s="162"/>
      <c r="L45" s="192" t="s">
        <v>0</v>
      </c>
      <c r="M45" s="192" t="s">
        <v>109</v>
      </c>
      <c r="N45" s="192"/>
      <c r="R45" s="1"/>
    </row>
    <row r="46" spans="2:18" ht="15.75" thickBot="1" x14ac:dyDescent="0.3">
      <c r="B46" s="44">
        <v>43044</v>
      </c>
      <c r="C46" s="153">
        <v>0.66666666666666663</v>
      </c>
      <c r="D46" s="46"/>
      <c r="E46" s="163"/>
      <c r="F46" s="164"/>
      <c r="G46" s="180"/>
      <c r="H46" s="48"/>
      <c r="I46" s="48"/>
      <c r="J46" s="165"/>
      <c r="K46" s="166"/>
      <c r="L46" s="192" t="s">
        <v>1</v>
      </c>
      <c r="M46" s="192" t="s">
        <v>123</v>
      </c>
      <c r="N46" s="192"/>
      <c r="R46" s="1"/>
    </row>
    <row r="47" spans="2:18" x14ac:dyDescent="0.25">
      <c r="B47" s="22">
        <v>43051</v>
      </c>
      <c r="C47" s="150">
        <v>0.5625</v>
      </c>
      <c r="D47" s="24"/>
      <c r="E47" s="176"/>
      <c r="F47" s="155"/>
      <c r="G47" s="176"/>
      <c r="H47" s="34"/>
      <c r="I47" s="34"/>
      <c r="J47" s="138"/>
      <c r="K47" s="156"/>
      <c r="L47" s="192" t="s">
        <v>1</v>
      </c>
      <c r="M47" s="192" t="s">
        <v>114</v>
      </c>
      <c r="N47" s="192"/>
      <c r="R47" s="1"/>
    </row>
    <row r="48" spans="2:18" x14ac:dyDescent="0.25">
      <c r="B48" s="37">
        <v>43051</v>
      </c>
      <c r="C48" s="151">
        <v>0.58333333333333337</v>
      </c>
      <c r="D48" s="32"/>
      <c r="E48" s="177"/>
      <c r="F48" s="157"/>
      <c r="G48" s="177"/>
      <c r="H48" s="34"/>
      <c r="I48" s="34"/>
      <c r="J48" s="159"/>
      <c r="K48" s="160"/>
      <c r="L48" s="192" t="s">
        <v>5</v>
      </c>
      <c r="M48" s="192" t="s">
        <v>0</v>
      </c>
      <c r="N48" s="192"/>
      <c r="R48" s="1"/>
    </row>
    <row r="49" spans="2:18" x14ac:dyDescent="0.25">
      <c r="B49" s="37">
        <v>43051</v>
      </c>
      <c r="C49" s="151">
        <v>0.60416666666666663</v>
      </c>
      <c r="D49" s="32"/>
      <c r="E49" s="177"/>
      <c r="F49" s="157"/>
      <c r="G49" s="177"/>
      <c r="H49" s="34"/>
      <c r="I49" s="34"/>
      <c r="J49" s="159"/>
      <c r="K49" s="160"/>
      <c r="L49" s="192" t="s">
        <v>1</v>
      </c>
      <c r="M49" s="192" t="s">
        <v>5</v>
      </c>
      <c r="N49" s="192"/>
      <c r="R49" s="1"/>
    </row>
    <row r="50" spans="2:18" x14ac:dyDescent="0.25">
      <c r="B50" s="37">
        <v>43051</v>
      </c>
      <c r="C50" s="151">
        <v>0.625</v>
      </c>
      <c r="D50" s="32"/>
      <c r="E50" s="177"/>
      <c r="F50" s="157"/>
      <c r="G50" s="177"/>
      <c r="H50" s="34"/>
      <c r="I50" s="34"/>
      <c r="J50" s="159"/>
      <c r="K50" s="160"/>
      <c r="L50" s="192" t="s">
        <v>0</v>
      </c>
      <c r="M50" s="192" t="s">
        <v>114</v>
      </c>
      <c r="N50" s="192"/>
      <c r="R50" s="1"/>
    </row>
    <row r="51" spans="2:18" x14ac:dyDescent="0.25">
      <c r="B51" s="37">
        <v>43051</v>
      </c>
      <c r="C51" s="152">
        <v>0.64583333333333337</v>
      </c>
      <c r="D51" s="39"/>
      <c r="E51" s="177"/>
      <c r="F51" s="157"/>
      <c r="G51" s="177"/>
      <c r="H51" s="41"/>
      <c r="I51" s="34"/>
      <c r="J51" s="161"/>
      <c r="K51" s="162"/>
      <c r="L51" s="192" t="s">
        <v>114</v>
      </c>
      <c r="M51" s="192" t="s">
        <v>5</v>
      </c>
      <c r="N51" s="192"/>
      <c r="R51" s="1"/>
    </row>
    <row r="52" spans="2:18" ht="15.75" thickBot="1" x14ac:dyDescent="0.3">
      <c r="B52" s="44">
        <v>43051</v>
      </c>
      <c r="C52" s="153">
        <v>0.66666666666666663</v>
      </c>
      <c r="D52" s="46"/>
      <c r="E52" s="163"/>
      <c r="F52" s="164"/>
      <c r="G52" s="180"/>
      <c r="H52" s="48"/>
      <c r="I52" s="48"/>
      <c r="J52" s="165"/>
      <c r="K52" s="166"/>
      <c r="L52" s="192" t="s">
        <v>1</v>
      </c>
      <c r="M52" s="192" t="s">
        <v>0</v>
      </c>
      <c r="N52" s="192"/>
      <c r="R52" s="1"/>
    </row>
    <row r="53" spans="2:18" x14ac:dyDescent="0.25">
      <c r="B53" s="22">
        <v>43065</v>
      </c>
      <c r="C53" s="150">
        <v>0.5625</v>
      </c>
      <c r="D53" s="24"/>
      <c r="E53" s="176"/>
      <c r="F53" s="155"/>
      <c r="G53" s="176"/>
      <c r="H53" s="34"/>
      <c r="I53" s="34"/>
      <c r="J53" s="138"/>
      <c r="K53" s="156"/>
      <c r="L53" s="192" t="s">
        <v>109</v>
      </c>
      <c r="M53" s="192" t="s">
        <v>114</v>
      </c>
      <c r="N53" s="192"/>
      <c r="R53" s="1"/>
    </row>
    <row r="54" spans="2:18" x14ac:dyDescent="0.25">
      <c r="B54" s="37">
        <v>43065</v>
      </c>
      <c r="C54" s="151">
        <v>0.58333333333333337</v>
      </c>
      <c r="D54" s="32"/>
      <c r="E54" s="177"/>
      <c r="F54" s="157"/>
      <c r="G54" s="177"/>
      <c r="H54" s="34"/>
      <c r="I54" s="34"/>
      <c r="J54" s="159"/>
      <c r="K54" s="160"/>
      <c r="L54" s="192"/>
      <c r="M54" s="192"/>
      <c r="N54" s="192" t="s">
        <v>0</v>
      </c>
      <c r="R54" s="1"/>
    </row>
    <row r="55" spans="2:18" x14ac:dyDescent="0.25">
      <c r="B55" s="37">
        <v>43065</v>
      </c>
      <c r="C55" s="151">
        <v>0.60416666666666663</v>
      </c>
      <c r="D55" s="32"/>
      <c r="E55" s="177"/>
      <c r="F55" s="157"/>
      <c r="G55" s="177"/>
      <c r="H55" s="34"/>
      <c r="I55" s="34"/>
      <c r="J55" s="159"/>
      <c r="K55" s="160"/>
      <c r="L55" s="192" t="s">
        <v>5</v>
      </c>
      <c r="M55" s="192" t="s">
        <v>114</v>
      </c>
      <c r="N55" s="192"/>
      <c r="R55" s="1"/>
    </row>
    <row r="56" spans="2:18" x14ac:dyDescent="0.25">
      <c r="B56" s="37">
        <v>43065</v>
      </c>
      <c r="C56" s="151">
        <v>0.625</v>
      </c>
      <c r="D56" s="32"/>
      <c r="E56" s="177"/>
      <c r="F56" s="157"/>
      <c r="G56" s="177"/>
      <c r="H56" s="34"/>
      <c r="I56" s="34"/>
      <c r="J56" s="159"/>
      <c r="K56" s="160"/>
      <c r="L56" s="192" t="s">
        <v>0</v>
      </c>
      <c r="M56" s="192" t="s">
        <v>109</v>
      </c>
      <c r="N56" s="192"/>
      <c r="R56" s="1"/>
    </row>
    <row r="57" spans="2:18" x14ac:dyDescent="0.25">
      <c r="B57" s="37">
        <v>43065</v>
      </c>
      <c r="C57" s="152">
        <v>0.64583333333333337</v>
      </c>
      <c r="D57" s="39"/>
      <c r="E57" s="177"/>
      <c r="F57" s="98"/>
      <c r="G57" s="177"/>
      <c r="H57" s="41"/>
      <c r="I57" s="34"/>
      <c r="J57" s="161"/>
      <c r="K57" s="162"/>
      <c r="L57" s="192" t="s">
        <v>114</v>
      </c>
      <c r="M57" s="192" t="s">
        <v>0</v>
      </c>
      <c r="N57" s="192"/>
      <c r="R57" s="1"/>
    </row>
    <row r="58" spans="2:18" ht="15.75" thickBot="1" x14ac:dyDescent="0.3">
      <c r="B58" s="44">
        <v>43065</v>
      </c>
      <c r="C58" s="153">
        <v>0.66666666666666663</v>
      </c>
      <c r="D58" s="46"/>
      <c r="E58" s="163"/>
      <c r="F58" s="164"/>
      <c r="G58" s="180"/>
      <c r="H58" s="48"/>
      <c r="I58" s="48"/>
      <c r="J58" s="165"/>
      <c r="K58" s="166"/>
      <c r="L58" s="192" t="s">
        <v>5</v>
      </c>
      <c r="M58" s="192" t="s">
        <v>109</v>
      </c>
      <c r="N58" s="192"/>
      <c r="R58" s="1"/>
    </row>
    <row r="59" spans="2:18" x14ac:dyDescent="0.25">
      <c r="B59" s="22">
        <v>43072</v>
      </c>
      <c r="C59" s="150">
        <v>0.5625</v>
      </c>
      <c r="D59" s="24"/>
      <c r="E59" s="176"/>
      <c r="F59" s="155"/>
      <c r="G59" s="176"/>
      <c r="H59" s="34"/>
      <c r="I59" s="34"/>
      <c r="J59" s="138"/>
      <c r="K59" s="156"/>
      <c r="L59" s="192" t="s">
        <v>1</v>
      </c>
      <c r="M59" s="192" t="s">
        <v>123</v>
      </c>
      <c r="N59" s="192"/>
      <c r="R59" s="1"/>
    </row>
    <row r="60" spans="2:18" x14ac:dyDescent="0.25">
      <c r="B60" s="37">
        <v>43072</v>
      </c>
      <c r="C60" s="151">
        <v>0.58333333333333337</v>
      </c>
      <c r="D60" s="32"/>
      <c r="E60" s="177"/>
      <c r="F60" s="157"/>
      <c r="G60" s="177"/>
      <c r="H60" s="34"/>
      <c r="I60" s="34"/>
      <c r="J60" s="159"/>
      <c r="K60" s="160"/>
      <c r="L60" s="192" t="s">
        <v>114</v>
      </c>
      <c r="M60" s="192" t="s">
        <v>109</v>
      </c>
      <c r="N60" s="192"/>
      <c r="R60" s="1"/>
    </row>
    <row r="61" spans="2:18" x14ac:dyDescent="0.25">
      <c r="B61" s="37">
        <v>43072</v>
      </c>
      <c r="C61" s="151">
        <v>0.60416666666666663</v>
      </c>
      <c r="D61" s="32"/>
      <c r="E61" s="177"/>
      <c r="F61" s="157"/>
      <c r="G61" s="177"/>
      <c r="H61" s="34"/>
      <c r="I61" s="34"/>
      <c r="J61" s="159"/>
      <c r="K61" s="160"/>
      <c r="L61" s="192" t="s">
        <v>114</v>
      </c>
      <c r="M61" s="192" t="s">
        <v>123</v>
      </c>
      <c r="N61" s="192"/>
      <c r="R61" s="1"/>
    </row>
    <row r="62" spans="2:18" x14ac:dyDescent="0.25">
      <c r="B62" s="37">
        <v>43072</v>
      </c>
      <c r="C62" s="151">
        <v>0.625</v>
      </c>
      <c r="D62" s="32"/>
      <c r="E62" s="177"/>
      <c r="F62" s="157"/>
      <c r="G62" s="177"/>
      <c r="H62" s="34"/>
      <c r="I62" s="34"/>
      <c r="J62" s="159"/>
      <c r="K62" s="160"/>
      <c r="L62" s="192" t="s">
        <v>109</v>
      </c>
      <c r="M62" s="192" t="s">
        <v>1</v>
      </c>
      <c r="N62" s="192"/>
      <c r="R62" s="1"/>
    </row>
    <row r="63" spans="2:18" ht="15.75" thickBot="1" x14ac:dyDescent="0.3">
      <c r="B63" s="37">
        <v>43072</v>
      </c>
      <c r="C63" s="152">
        <v>0.64583333333333337</v>
      </c>
      <c r="D63" s="39"/>
      <c r="E63" s="177"/>
      <c r="F63" s="98"/>
      <c r="G63" s="177"/>
      <c r="H63" s="41"/>
      <c r="I63" s="34"/>
      <c r="J63" s="161"/>
      <c r="K63" s="162"/>
      <c r="L63" s="192" t="s">
        <v>109</v>
      </c>
      <c r="M63" s="192" t="s">
        <v>123</v>
      </c>
      <c r="N63" s="192"/>
      <c r="R63" s="1"/>
    </row>
    <row r="64" spans="2:18" ht="15.75" thickBot="1" x14ac:dyDescent="0.3">
      <c r="B64" s="22">
        <v>43072</v>
      </c>
      <c r="C64" s="153">
        <v>0.66666666666666663</v>
      </c>
      <c r="D64" s="46"/>
      <c r="E64" s="163"/>
      <c r="F64" s="164"/>
      <c r="G64" s="180"/>
      <c r="H64" s="48"/>
      <c r="I64" s="48"/>
      <c r="J64" s="165"/>
      <c r="K64" s="166"/>
      <c r="L64" s="192" t="s">
        <v>1</v>
      </c>
      <c r="M64" s="192" t="s">
        <v>114</v>
      </c>
      <c r="N64" s="192"/>
      <c r="R64" s="1"/>
    </row>
    <row r="65" spans="2:18" x14ac:dyDescent="0.25">
      <c r="B65" s="22">
        <v>43079</v>
      </c>
      <c r="C65" s="150">
        <v>0.5625</v>
      </c>
      <c r="D65" s="24"/>
      <c r="E65" s="176"/>
      <c r="F65" s="155"/>
      <c r="G65" s="176"/>
      <c r="H65" s="34"/>
      <c r="I65" s="34"/>
      <c r="J65" s="138"/>
      <c r="K65" s="156"/>
      <c r="L65" s="192" t="s">
        <v>0</v>
      </c>
      <c r="M65" s="192" t="s">
        <v>109</v>
      </c>
      <c r="N65" s="192"/>
      <c r="R65" s="1"/>
    </row>
    <row r="66" spans="2:18" x14ac:dyDescent="0.25">
      <c r="B66" s="37">
        <v>43079</v>
      </c>
      <c r="C66" s="151">
        <v>0.58333333333333337</v>
      </c>
      <c r="D66" s="32"/>
      <c r="E66" s="177"/>
      <c r="F66" s="157"/>
      <c r="G66" s="177"/>
      <c r="H66" s="34"/>
      <c r="I66" s="34"/>
      <c r="J66" s="159"/>
      <c r="K66" s="160"/>
      <c r="L66" s="192" t="s">
        <v>5</v>
      </c>
      <c r="M66" s="192" t="s">
        <v>1</v>
      </c>
      <c r="N66" s="192"/>
      <c r="R66" s="1"/>
    </row>
    <row r="67" spans="2:18" x14ac:dyDescent="0.25">
      <c r="B67" s="37">
        <v>43079</v>
      </c>
      <c r="C67" s="151">
        <v>0.60416666666666663</v>
      </c>
      <c r="D67" s="32"/>
      <c r="E67" s="177"/>
      <c r="F67" s="157"/>
      <c r="G67" s="177"/>
      <c r="H67" s="34"/>
      <c r="I67" s="34"/>
      <c r="J67" s="159"/>
      <c r="K67" s="160"/>
      <c r="L67" s="192" t="s">
        <v>0</v>
      </c>
      <c r="M67" s="192" t="s">
        <v>5</v>
      </c>
      <c r="N67" s="192"/>
      <c r="R67" s="1"/>
    </row>
    <row r="68" spans="2:18" x14ac:dyDescent="0.25">
      <c r="B68" s="37">
        <v>43079</v>
      </c>
      <c r="C68" s="151">
        <v>0.625</v>
      </c>
      <c r="D68" s="32"/>
      <c r="E68" s="177"/>
      <c r="F68" s="157"/>
      <c r="G68" s="177"/>
      <c r="H68" s="34"/>
      <c r="I68" s="34"/>
      <c r="J68" s="159"/>
      <c r="K68" s="160"/>
      <c r="L68" s="192" t="s">
        <v>1</v>
      </c>
      <c r="M68" s="192" t="s">
        <v>109</v>
      </c>
      <c r="N68" s="192"/>
      <c r="R68" s="1"/>
    </row>
    <row r="69" spans="2:18" x14ac:dyDescent="0.25">
      <c r="B69" s="37">
        <v>43079</v>
      </c>
      <c r="C69" s="152">
        <v>0.64583333333333337</v>
      </c>
      <c r="D69" s="39"/>
      <c r="E69" s="177"/>
      <c r="F69" s="98"/>
      <c r="G69" s="177"/>
      <c r="H69" s="41"/>
      <c r="I69" s="34"/>
      <c r="J69" s="161"/>
      <c r="K69" s="162"/>
      <c r="L69" s="192" t="s">
        <v>0</v>
      </c>
      <c r="M69" s="192" t="s">
        <v>1</v>
      </c>
      <c r="N69" s="192"/>
      <c r="R69" s="1"/>
    </row>
    <row r="70" spans="2:18" ht="15.75" thickBot="1" x14ac:dyDescent="0.3">
      <c r="B70" s="44">
        <v>43079</v>
      </c>
      <c r="C70" s="153">
        <v>0.66666666666666663</v>
      </c>
      <c r="D70" s="46"/>
      <c r="E70" s="163"/>
      <c r="F70" s="164"/>
      <c r="G70" s="180"/>
      <c r="H70" s="48"/>
      <c r="I70" s="48"/>
      <c r="J70" s="165"/>
      <c r="K70" s="166"/>
      <c r="L70" s="192" t="s">
        <v>5</v>
      </c>
      <c r="M70" s="192" t="s">
        <v>109</v>
      </c>
      <c r="N70" s="192"/>
      <c r="R70" s="1"/>
    </row>
    <row r="71" spans="2:18" x14ac:dyDescent="0.25">
      <c r="B71" s="145" t="s">
        <v>0</v>
      </c>
      <c r="C71" s="134" t="s">
        <v>33</v>
      </c>
      <c r="D71" s="62">
        <f>COUNTIF(D$23:D$70,"Brewers")</f>
        <v>0</v>
      </c>
      <c r="E71" s="154"/>
      <c r="F71" s="25">
        <f>COUNTIF(F$23:F$70,"Brewers")</f>
        <v>0</v>
      </c>
      <c r="G71" s="190"/>
      <c r="H71" s="64">
        <f>COUNTIF(H$23:H$70,"Brewers")</f>
        <v>0</v>
      </c>
      <c r="I71" s="80"/>
      <c r="J71" s="107"/>
      <c r="K71" s="1">
        <f t="shared" ref="K71:K76" si="4">IF(E71&gt;G71,D71,F71)</f>
        <v>0</v>
      </c>
      <c r="M71" s="1"/>
      <c r="R71" s="1"/>
    </row>
    <row r="72" spans="2:18" x14ac:dyDescent="0.25">
      <c r="B72" s="66" t="s">
        <v>109</v>
      </c>
      <c r="C72" s="135" t="s">
        <v>33</v>
      </c>
      <c r="D72" s="68">
        <f>COUNTIF(D$23:D$70,"Cubs")</f>
        <v>0</v>
      </c>
      <c r="E72" s="181"/>
      <c r="F72" s="40">
        <f>COUNTIF(F$23:F$70,"Cubs")</f>
        <v>0</v>
      </c>
      <c r="G72" s="108"/>
      <c r="H72" s="70">
        <f>COUNTIF(H$23:H$70,"Cubs")</f>
        <v>0</v>
      </c>
      <c r="I72" s="1"/>
      <c r="J72" s="1"/>
      <c r="K72" s="1">
        <f t="shared" si="4"/>
        <v>0</v>
      </c>
      <c r="M72" s="1"/>
      <c r="R72" s="1"/>
    </row>
    <row r="73" spans="2:18" x14ac:dyDescent="0.25">
      <c r="B73" s="66" t="s">
        <v>108</v>
      </c>
      <c r="C73" s="135" t="s">
        <v>33</v>
      </c>
      <c r="D73" s="68">
        <f>COUNTIF(D$23:D$70,"L'boro")</f>
        <v>1</v>
      </c>
      <c r="E73" s="181"/>
      <c r="F73" s="40">
        <f>COUNTIF(F$23:F$70,"L'boro")</f>
        <v>2</v>
      </c>
      <c r="G73" s="108"/>
      <c r="H73" s="70">
        <f>COUNTIF(H$23:H$70,"L'boro")</f>
        <v>2</v>
      </c>
      <c r="I73" s="1"/>
      <c r="J73" s="1"/>
      <c r="K73" s="1">
        <f t="shared" si="4"/>
        <v>2</v>
      </c>
      <c r="L73" s="1"/>
      <c r="M73" s="1"/>
      <c r="R73" s="1"/>
    </row>
    <row r="74" spans="2:18" x14ac:dyDescent="0.25">
      <c r="B74" s="71" t="s">
        <v>5</v>
      </c>
      <c r="C74" s="135" t="s">
        <v>33</v>
      </c>
      <c r="D74" s="68">
        <f>COUNTIF(D$23:D$70,"Pyros")</f>
        <v>1</v>
      </c>
      <c r="E74" s="181"/>
      <c r="F74" s="40">
        <f>COUNTIF(F$23:F$70,"Pyros")</f>
        <v>2</v>
      </c>
      <c r="G74" s="108"/>
      <c r="H74" s="70">
        <f>COUNTIF(H$23:H$70,"Pyros")</f>
        <v>2</v>
      </c>
      <c r="I74" s="1"/>
      <c r="J74" s="1"/>
      <c r="K74" s="1">
        <f t="shared" si="4"/>
        <v>2</v>
      </c>
      <c r="L74" s="1"/>
      <c r="M74" s="1"/>
      <c r="R74" s="1"/>
    </row>
    <row r="75" spans="2:18" x14ac:dyDescent="0.25">
      <c r="B75" s="71" t="s">
        <v>114</v>
      </c>
      <c r="C75" s="135" t="s">
        <v>33</v>
      </c>
      <c r="D75" s="68">
        <f>COUNTIF(D$23:D$70,"Pyros Jnrs")</f>
        <v>0</v>
      </c>
      <c r="E75" s="181"/>
      <c r="F75" s="40">
        <f>COUNTIF(F$23:F$70,"Pyros Jnrs")</f>
        <v>0</v>
      </c>
      <c r="G75" s="108"/>
      <c r="H75" s="70">
        <f>COUNTIF(H$23:H$70,"Pyros Jnrs")</f>
        <v>0</v>
      </c>
      <c r="I75" s="1"/>
      <c r="J75" s="1"/>
      <c r="K75" s="1">
        <f t="shared" si="4"/>
        <v>0</v>
      </c>
      <c r="L75" s="1"/>
      <c r="M75" s="1"/>
      <c r="R75" s="1"/>
    </row>
    <row r="76" spans="2:18" ht="15.75" thickBot="1" x14ac:dyDescent="0.3">
      <c r="B76" s="73" t="s">
        <v>1</v>
      </c>
      <c r="C76" s="136" t="s">
        <v>33</v>
      </c>
      <c r="D76" s="75">
        <f>COUNTIF(D$23:D$70,"Tigers")</f>
        <v>2</v>
      </c>
      <c r="E76" s="182"/>
      <c r="F76" s="47">
        <f>COUNTIF(F$23:F$70,"Tigers")</f>
        <v>1</v>
      </c>
      <c r="G76" s="182"/>
      <c r="H76" s="77">
        <f>COUNTIF(H$23:H$70,"Tigers")</f>
        <v>2</v>
      </c>
      <c r="I76" s="1"/>
      <c r="J76" s="1"/>
      <c r="K76" s="1">
        <f t="shared" si="4"/>
        <v>1</v>
      </c>
      <c r="L76" s="1"/>
      <c r="M76" s="1"/>
      <c r="R76" s="1"/>
    </row>
    <row r="77" spans="2:18" ht="15.75" thickBot="1" x14ac:dyDescent="0.3">
      <c r="B77" s="196"/>
      <c r="C77" s="197"/>
      <c r="D77" s="198"/>
      <c r="E77" s="199"/>
      <c r="F77" s="200"/>
      <c r="G77" s="201"/>
      <c r="H77" s="202"/>
      <c r="I77" s="203"/>
      <c r="J77" s="204"/>
      <c r="K77" s="192"/>
      <c r="L77" s="192"/>
      <c r="M77" s="192"/>
      <c r="R77" s="1"/>
    </row>
    <row r="78" spans="2:18" ht="15.75" thickBot="1" x14ac:dyDescent="0.3">
      <c r="B78" s="224" t="s">
        <v>149</v>
      </c>
      <c r="C78" s="225"/>
      <c r="D78" s="225"/>
      <c r="E78" s="225"/>
      <c r="F78" s="225"/>
      <c r="G78" s="225"/>
      <c r="H78" s="225"/>
      <c r="I78" s="225"/>
      <c r="J78" s="226"/>
      <c r="K78" s="192"/>
      <c r="L78" s="192"/>
      <c r="M78" s="192"/>
      <c r="R78" s="1"/>
    </row>
    <row r="79" spans="2:18" ht="30.75" thickBot="1" x14ac:dyDescent="0.3">
      <c r="B79" s="205"/>
      <c r="C79" s="15" t="s">
        <v>25</v>
      </c>
      <c r="D79" s="16" t="s">
        <v>65</v>
      </c>
      <c r="E79" s="175" t="s">
        <v>105</v>
      </c>
      <c r="F79" s="17" t="s">
        <v>56</v>
      </c>
      <c r="G79" s="186" t="s">
        <v>105</v>
      </c>
      <c r="H79" s="137" t="s">
        <v>107</v>
      </c>
      <c r="I79" s="19" t="s">
        <v>31</v>
      </c>
      <c r="J79" s="20" t="s">
        <v>32</v>
      </c>
      <c r="K79" s="192"/>
      <c r="L79" s="192"/>
      <c r="M79" s="192"/>
      <c r="R79" s="1"/>
    </row>
    <row r="80" spans="2:18" x14ac:dyDescent="0.25">
      <c r="B80" s="30">
        <v>42666</v>
      </c>
      <c r="C80" s="151">
        <v>0.5625</v>
      </c>
      <c r="D80" s="32" t="s">
        <v>109</v>
      </c>
      <c r="E80" s="195">
        <v>28</v>
      </c>
      <c r="F80" s="157" t="s">
        <v>5</v>
      </c>
      <c r="G80" s="195">
        <v>46</v>
      </c>
      <c r="H80" s="34" t="s">
        <v>117</v>
      </c>
      <c r="I80" s="138" t="s">
        <v>5</v>
      </c>
      <c r="J80" s="160"/>
      <c r="K80" s="193" t="s">
        <v>5</v>
      </c>
      <c r="L80" s="193" t="s">
        <v>109</v>
      </c>
      <c r="M80" s="193"/>
      <c r="R80" s="1"/>
    </row>
    <row r="81" spans="2:18" x14ac:dyDescent="0.25">
      <c r="B81" s="37">
        <v>42666</v>
      </c>
      <c r="C81" s="151">
        <v>0.58333333333333337</v>
      </c>
      <c r="D81" s="32" t="s">
        <v>114</v>
      </c>
      <c r="E81" s="177">
        <v>49</v>
      </c>
      <c r="F81" s="157" t="s">
        <v>1</v>
      </c>
      <c r="G81" s="177">
        <v>18</v>
      </c>
      <c r="H81" s="34" t="s">
        <v>5</v>
      </c>
      <c r="I81" s="159"/>
      <c r="J81" s="160"/>
      <c r="K81" s="193" t="s">
        <v>114</v>
      </c>
      <c r="L81" s="193" t="s">
        <v>1</v>
      </c>
      <c r="M81" s="193"/>
      <c r="R81" s="1"/>
    </row>
    <row r="82" spans="2:18" x14ac:dyDescent="0.25">
      <c r="B82" s="37">
        <v>42666</v>
      </c>
      <c r="C82" s="151">
        <v>0.60416666666666663</v>
      </c>
      <c r="D82" s="32" t="s">
        <v>114</v>
      </c>
      <c r="E82" s="177">
        <v>36</v>
      </c>
      <c r="F82" s="157" t="s">
        <v>109</v>
      </c>
      <c r="G82" s="177">
        <v>26</v>
      </c>
      <c r="H82" s="34" t="s">
        <v>1</v>
      </c>
      <c r="I82" s="159"/>
      <c r="J82" s="160"/>
      <c r="K82" s="193" t="s">
        <v>114</v>
      </c>
      <c r="L82" s="192" t="s">
        <v>109</v>
      </c>
      <c r="M82" s="193"/>
      <c r="R82" s="1"/>
    </row>
    <row r="83" spans="2:18" x14ac:dyDescent="0.25">
      <c r="B83" s="37">
        <v>42666</v>
      </c>
      <c r="C83" s="151">
        <v>0.625</v>
      </c>
      <c r="D83" s="32" t="s">
        <v>1</v>
      </c>
      <c r="E83" s="177">
        <v>37</v>
      </c>
      <c r="F83" s="157" t="s">
        <v>5</v>
      </c>
      <c r="G83" s="177">
        <v>42</v>
      </c>
      <c r="H83" s="34" t="s">
        <v>109</v>
      </c>
      <c r="I83" s="159"/>
      <c r="J83" s="160"/>
      <c r="K83" s="193" t="s">
        <v>5</v>
      </c>
      <c r="L83" s="193" t="s">
        <v>1</v>
      </c>
      <c r="M83" s="193"/>
      <c r="R83" s="1"/>
    </row>
    <row r="84" spans="2:18" x14ac:dyDescent="0.25">
      <c r="B84" s="37">
        <v>42666</v>
      </c>
      <c r="C84" s="152">
        <v>0.64583333333333337</v>
      </c>
      <c r="D84" s="39" t="s">
        <v>5</v>
      </c>
      <c r="E84" s="177">
        <v>31</v>
      </c>
      <c r="F84" s="98" t="s">
        <v>114</v>
      </c>
      <c r="G84" s="177">
        <v>32</v>
      </c>
      <c r="H84" s="41" t="s">
        <v>109</v>
      </c>
      <c r="I84" s="161"/>
      <c r="J84" s="162"/>
      <c r="K84" s="193" t="s">
        <v>114</v>
      </c>
      <c r="L84" s="193" t="s">
        <v>5</v>
      </c>
      <c r="M84" s="193"/>
      <c r="R84" s="1"/>
    </row>
    <row r="85" spans="2:18" ht="15.75" thickBot="1" x14ac:dyDescent="0.3">
      <c r="B85" s="44">
        <v>42666</v>
      </c>
      <c r="C85" s="153">
        <v>0.66666666666666663</v>
      </c>
      <c r="D85" s="46" t="s">
        <v>109</v>
      </c>
      <c r="E85" s="163">
        <v>62</v>
      </c>
      <c r="F85" s="164" t="s">
        <v>1</v>
      </c>
      <c r="G85" s="180">
        <v>18</v>
      </c>
      <c r="H85" s="48" t="s">
        <v>117</v>
      </c>
      <c r="I85" s="165"/>
      <c r="J85" s="166" t="s">
        <v>5</v>
      </c>
      <c r="K85" s="193" t="s">
        <v>109</v>
      </c>
      <c r="L85" s="193" t="s">
        <v>1</v>
      </c>
      <c r="M85" s="193"/>
      <c r="R85" s="1"/>
    </row>
    <row r="86" spans="2:18" x14ac:dyDescent="0.25">
      <c r="B86" s="22">
        <v>42673</v>
      </c>
      <c r="C86" s="150">
        <v>0.5625</v>
      </c>
      <c r="D86" s="32" t="s">
        <v>5</v>
      </c>
      <c r="E86" s="178">
        <v>51</v>
      </c>
      <c r="F86" s="33" t="s">
        <v>1</v>
      </c>
      <c r="G86" s="187">
        <v>28</v>
      </c>
      <c r="H86" s="34" t="s">
        <v>0</v>
      </c>
      <c r="I86" s="138" t="s">
        <v>5</v>
      </c>
      <c r="J86" s="36"/>
      <c r="K86" s="193" t="str">
        <f>IF(E86&gt;G86,D86,F86)</f>
        <v>Pyros</v>
      </c>
      <c r="L86" s="193" t="str">
        <f>IF(E86&gt;G86,F86,D86)</f>
        <v>Tigers</v>
      </c>
      <c r="M86" s="193"/>
      <c r="R86" s="1"/>
    </row>
    <row r="87" spans="2:18" x14ac:dyDescent="0.25">
      <c r="B87" s="37">
        <v>42673</v>
      </c>
      <c r="C87" s="151">
        <v>0.58333333333333337</v>
      </c>
      <c r="D87" s="32" t="s">
        <v>116</v>
      </c>
      <c r="E87" s="179">
        <v>10</v>
      </c>
      <c r="F87" s="33" t="s">
        <v>0</v>
      </c>
      <c r="G87" s="187">
        <v>18</v>
      </c>
      <c r="H87" s="34" t="s">
        <v>1</v>
      </c>
      <c r="I87" s="34"/>
      <c r="J87" s="36"/>
      <c r="K87" s="193" t="str">
        <f t="shared" ref="K87:K127" si="5">IF(E87&gt;G87,D87,F87)</f>
        <v>Brewers</v>
      </c>
      <c r="L87" s="193" t="str">
        <f t="shared" ref="L87:L100" si="6">IF(E87&gt;G87,F87,D87)</f>
        <v>L'Boro</v>
      </c>
      <c r="M87" s="193"/>
      <c r="R87" s="1"/>
    </row>
    <row r="88" spans="2:18" x14ac:dyDescent="0.25">
      <c r="B88" s="37">
        <v>42673</v>
      </c>
      <c r="C88" s="151">
        <v>0.60416666666666663</v>
      </c>
      <c r="D88" s="32" t="s">
        <v>5</v>
      </c>
      <c r="E88" s="179">
        <v>41</v>
      </c>
      <c r="F88" s="33" t="s">
        <v>116</v>
      </c>
      <c r="G88" s="187">
        <v>14</v>
      </c>
      <c r="H88" s="34" t="s">
        <v>0</v>
      </c>
      <c r="I88" s="34"/>
      <c r="J88" s="36"/>
      <c r="K88" s="193" t="str">
        <f t="shared" si="5"/>
        <v>Pyros</v>
      </c>
      <c r="L88" s="193" t="str">
        <f t="shared" si="6"/>
        <v>L'Boro</v>
      </c>
      <c r="M88" s="193"/>
      <c r="R88" s="1"/>
    </row>
    <row r="89" spans="2:18" x14ac:dyDescent="0.25">
      <c r="B89" s="37">
        <v>42673</v>
      </c>
      <c r="C89" s="151">
        <v>0.625</v>
      </c>
      <c r="D89" s="32" t="s">
        <v>0</v>
      </c>
      <c r="E89" s="179">
        <v>23</v>
      </c>
      <c r="F89" s="33" t="s">
        <v>1</v>
      </c>
      <c r="G89" s="187">
        <v>19</v>
      </c>
      <c r="H89" s="34" t="s">
        <v>5</v>
      </c>
      <c r="I89" s="34"/>
      <c r="J89" s="36"/>
      <c r="K89" s="193" t="str">
        <f t="shared" si="5"/>
        <v>Brewers</v>
      </c>
      <c r="L89" s="193" t="str">
        <f t="shared" si="6"/>
        <v>Tigers</v>
      </c>
      <c r="M89" s="193"/>
      <c r="R89" s="1"/>
    </row>
    <row r="90" spans="2:18" x14ac:dyDescent="0.25">
      <c r="B90" s="37">
        <v>42673</v>
      </c>
      <c r="C90" s="152">
        <v>0.64583333333333337</v>
      </c>
      <c r="D90" s="39" t="s">
        <v>1</v>
      </c>
      <c r="E90" s="179">
        <v>60</v>
      </c>
      <c r="F90" s="40" t="s">
        <v>116</v>
      </c>
      <c r="G90" s="188">
        <v>28</v>
      </c>
      <c r="H90" s="41" t="s">
        <v>5</v>
      </c>
      <c r="I90" s="41"/>
      <c r="J90" s="43"/>
      <c r="K90" s="193" t="str">
        <f t="shared" si="5"/>
        <v>Tigers</v>
      </c>
      <c r="L90" s="193" t="str">
        <f t="shared" si="6"/>
        <v>L'Boro</v>
      </c>
      <c r="M90" s="193"/>
      <c r="R90" s="1"/>
    </row>
    <row r="91" spans="2:18" ht="15.75" thickBot="1" x14ac:dyDescent="0.3">
      <c r="B91" s="44">
        <v>42673</v>
      </c>
      <c r="C91" s="153">
        <v>0.66666666666666663</v>
      </c>
      <c r="D91" s="46" t="s">
        <v>0</v>
      </c>
      <c r="E91" s="180">
        <v>50</v>
      </c>
      <c r="F91" s="47" t="s">
        <v>5</v>
      </c>
      <c r="G91" s="189">
        <v>47</v>
      </c>
      <c r="H91" s="48" t="s">
        <v>1</v>
      </c>
      <c r="I91" s="48"/>
      <c r="J91" s="50" t="s">
        <v>0</v>
      </c>
      <c r="K91" s="193" t="str">
        <f t="shared" si="5"/>
        <v>Brewers</v>
      </c>
      <c r="L91" s="193" t="str">
        <f t="shared" si="6"/>
        <v>Pyros</v>
      </c>
      <c r="M91" s="193"/>
      <c r="R91" s="1"/>
    </row>
    <row r="92" spans="2:18" x14ac:dyDescent="0.25">
      <c r="B92" s="22">
        <v>42680</v>
      </c>
      <c r="C92" s="150">
        <v>0.5625</v>
      </c>
      <c r="D92" s="32" t="s">
        <v>0</v>
      </c>
      <c r="E92" s="178">
        <v>44</v>
      </c>
      <c r="F92" s="33" t="s">
        <v>116</v>
      </c>
      <c r="G92" s="187">
        <v>25</v>
      </c>
      <c r="H92" s="34" t="s">
        <v>5</v>
      </c>
      <c r="I92" s="139" t="s">
        <v>0</v>
      </c>
      <c r="J92" s="36"/>
      <c r="K92" s="193" t="str">
        <f t="shared" si="5"/>
        <v>Brewers</v>
      </c>
      <c r="L92" s="193" t="str">
        <f>IF(E92&gt;G92,F92,D92)</f>
        <v>L'Boro</v>
      </c>
      <c r="M92" s="193"/>
      <c r="R92" s="1"/>
    </row>
    <row r="93" spans="2:18" x14ac:dyDescent="0.25">
      <c r="B93" s="37">
        <v>42680</v>
      </c>
      <c r="C93" s="151">
        <v>0.58333333333333337</v>
      </c>
      <c r="D93" s="32" t="s">
        <v>114</v>
      </c>
      <c r="E93" s="179">
        <v>38</v>
      </c>
      <c r="F93" s="157" t="s">
        <v>5</v>
      </c>
      <c r="G93" s="187">
        <v>28</v>
      </c>
      <c r="H93" s="34" t="s">
        <v>123</v>
      </c>
      <c r="I93" s="34"/>
      <c r="J93" s="36"/>
      <c r="K93" s="193" t="str">
        <f t="shared" si="5"/>
        <v>Pyros Jnrs</v>
      </c>
      <c r="L93" s="193" t="str">
        <f t="shared" si="6"/>
        <v>Pyros</v>
      </c>
      <c r="M93" s="193"/>
      <c r="R93" s="1"/>
    </row>
    <row r="94" spans="2:18" x14ac:dyDescent="0.25">
      <c r="B94" s="37">
        <v>42680</v>
      </c>
      <c r="C94" s="151">
        <v>0.60416666666666663</v>
      </c>
      <c r="D94" s="32" t="s">
        <v>5</v>
      </c>
      <c r="E94" s="179">
        <v>35</v>
      </c>
      <c r="F94" s="33" t="s">
        <v>0</v>
      </c>
      <c r="G94" s="187">
        <v>44</v>
      </c>
      <c r="H94" s="34" t="s">
        <v>117</v>
      </c>
      <c r="I94" s="34"/>
      <c r="J94" s="36"/>
      <c r="K94" s="193" t="str">
        <f t="shared" si="5"/>
        <v>Brewers</v>
      </c>
      <c r="L94" s="193" t="str">
        <f t="shared" si="6"/>
        <v>Pyros</v>
      </c>
      <c r="M94" s="193"/>
      <c r="R94" s="1"/>
    </row>
    <row r="95" spans="2:18" x14ac:dyDescent="0.25">
      <c r="B95" s="37">
        <v>42680</v>
      </c>
      <c r="C95" s="151">
        <v>0.625</v>
      </c>
      <c r="D95" s="32" t="s">
        <v>116</v>
      </c>
      <c r="E95" s="179">
        <v>22</v>
      </c>
      <c r="F95" s="33" t="s">
        <v>114</v>
      </c>
      <c r="G95" s="187">
        <v>39</v>
      </c>
      <c r="H95" s="34" t="s">
        <v>0</v>
      </c>
      <c r="I95" s="34"/>
      <c r="J95" s="36"/>
      <c r="K95" s="193" t="str">
        <f t="shared" si="5"/>
        <v>Pyros Jnrs</v>
      </c>
      <c r="L95" s="193" t="str">
        <f t="shared" si="6"/>
        <v>L'Boro</v>
      </c>
      <c r="M95" s="193"/>
      <c r="R95" s="1"/>
    </row>
    <row r="96" spans="2:18" x14ac:dyDescent="0.25">
      <c r="B96" s="37">
        <v>42680</v>
      </c>
      <c r="C96" s="152">
        <v>0.64583333333333337</v>
      </c>
      <c r="D96" s="39" t="s">
        <v>116</v>
      </c>
      <c r="E96" s="179">
        <v>39</v>
      </c>
      <c r="F96" s="157" t="s">
        <v>5</v>
      </c>
      <c r="G96" s="188">
        <v>50</v>
      </c>
      <c r="H96" s="41" t="s">
        <v>117</v>
      </c>
      <c r="I96" s="41"/>
      <c r="J96" s="43"/>
      <c r="K96" s="193" t="str">
        <f t="shared" si="5"/>
        <v>Pyros</v>
      </c>
      <c r="L96" s="193" t="str">
        <f t="shared" si="6"/>
        <v>L'Boro</v>
      </c>
      <c r="M96" s="193"/>
      <c r="N96" s="130"/>
      <c r="O96" s="146"/>
      <c r="P96" s="130"/>
      <c r="Q96" s="146"/>
      <c r="R96" s="1"/>
    </row>
    <row r="97" spans="2:18" ht="15.75" thickBot="1" x14ac:dyDescent="0.3">
      <c r="B97" s="44">
        <v>42680</v>
      </c>
      <c r="C97" s="153">
        <v>0.66666666666666663</v>
      </c>
      <c r="D97" s="46" t="s">
        <v>114</v>
      </c>
      <c r="E97" s="180">
        <v>33</v>
      </c>
      <c r="F97" s="47" t="s">
        <v>0</v>
      </c>
      <c r="G97" s="189">
        <v>35</v>
      </c>
      <c r="H97" s="48" t="s">
        <v>123</v>
      </c>
      <c r="I97" s="57"/>
      <c r="J97" s="59" t="s">
        <v>0</v>
      </c>
      <c r="K97" s="193" t="str">
        <f t="shared" si="5"/>
        <v>Brewers</v>
      </c>
      <c r="L97" s="193" t="str">
        <f t="shared" si="6"/>
        <v>Pyros Jnrs</v>
      </c>
      <c r="M97" s="193"/>
      <c r="N97" s="130"/>
      <c r="O97" s="146"/>
      <c r="P97" s="130"/>
      <c r="Q97" s="146"/>
      <c r="R97" s="1"/>
    </row>
    <row r="98" spans="2:18" x14ac:dyDescent="0.25">
      <c r="B98" s="22">
        <v>42694</v>
      </c>
      <c r="C98" s="150">
        <v>0.5625</v>
      </c>
      <c r="D98" s="32" t="s">
        <v>0</v>
      </c>
      <c r="E98" s="178">
        <v>0</v>
      </c>
      <c r="F98" s="33" t="s">
        <v>109</v>
      </c>
      <c r="G98" s="187">
        <v>7</v>
      </c>
      <c r="H98" s="34" t="s">
        <v>117</v>
      </c>
      <c r="I98" s="139" t="s">
        <v>0</v>
      </c>
      <c r="J98" s="28"/>
      <c r="K98" s="193" t="str">
        <f t="shared" si="5"/>
        <v>Cubs</v>
      </c>
      <c r="L98" s="193" t="str">
        <f t="shared" si="6"/>
        <v>Brewers</v>
      </c>
      <c r="M98" s="193"/>
      <c r="N98" s="130"/>
      <c r="O98" s="146"/>
      <c r="P98" s="130"/>
      <c r="Q98" s="146"/>
      <c r="R98" s="1"/>
    </row>
    <row r="99" spans="2:18" x14ac:dyDescent="0.25">
      <c r="B99" s="37">
        <v>42694</v>
      </c>
      <c r="C99" s="151">
        <v>0.58333333333333337</v>
      </c>
      <c r="D99" s="32" t="s">
        <v>1</v>
      </c>
      <c r="E99" s="179">
        <v>24</v>
      </c>
      <c r="F99" s="33" t="s">
        <v>114</v>
      </c>
      <c r="G99" s="187">
        <v>55</v>
      </c>
      <c r="H99" s="34" t="s">
        <v>0</v>
      </c>
      <c r="I99" s="41"/>
      <c r="J99" s="43"/>
      <c r="K99" s="193" t="str">
        <f t="shared" si="5"/>
        <v>Pyros Jnrs</v>
      </c>
      <c r="L99" s="193" t="str">
        <f t="shared" si="6"/>
        <v>Tigers</v>
      </c>
      <c r="M99" s="193"/>
      <c r="N99" s="130"/>
      <c r="O99" s="146"/>
      <c r="P99" s="130"/>
      <c r="Q99" s="146"/>
      <c r="R99" s="1"/>
    </row>
    <row r="100" spans="2:18" x14ac:dyDescent="0.25">
      <c r="B100" s="37">
        <v>42694</v>
      </c>
      <c r="C100" s="151">
        <v>0.60416666666666663</v>
      </c>
      <c r="D100" s="32" t="s">
        <v>0</v>
      </c>
      <c r="E100" s="179">
        <v>0</v>
      </c>
      <c r="F100" s="33" t="s">
        <v>114</v>
      </c>
      <c r="G100" s="187">
        <v>7</v>
      </c>
      <c r="H100" s="34" t="s">
        <v>1</v>
      </c>
      <c r="I100" s="41"/>
      <c r="J100" s="43"/>
      <c r="K100" s="193" t="str">
        <f t="shared" si="5"/>
        <v>Pyros Jnrs</v>
      </c>
      <c r="L100" s="193" t="str">
        <f t="shared" si="6"/>
        <v>Brewers</v>
      </c>
      <c r="M100" s="193"/>
      <c r="N100" s="130"/>
      <c r="O100" s="146"/>
      <c r="P100" s="130"/>
      <c r="Q100" s="146"/>
      <c r="R100" s="1"/>
    </row>
    <row r="101" spans="2:18" x14ac:dyDescent="0.25">
      <c r="B101" s="37">
        <v>42694</v>
      </c>
      <c r="C101" s="151">
        <v>0.625</v>
      </c>
      <c r="D101" s="32" t="s">
        <v>1</v>
      </c>
      <c r="E101" s="179">
        <v>20</v>
      </c>
      <c r="F101" s="33" t="s">
        <v>109</v>
      </c>
      <c r="G101" s="187">
        <v>43</v>
      </c>
      <c r="H101" s="34" t="s">
        <v>0</v>
      </c>
      <c r="I101" s="41"/>
      <c r="J101" s="43"/>
      <c r="K101" s="193" t="s">
        <v>109</v>
      </c>
      <c r="L101" s="193" t="s">
        <v>1</v>
      </c>
      <c r="M101" s="193"/>
      <c r="N101" s="130"/>
      <c r="O101" s="146"/>
      <c r="P101" s="130"/>
      <c r="Q101" s="146"/>
      <c r="R101" s="1"/>
    </row>
    <row r="102" spans="2:18" x14ac:dyDescent="0.25">
      <c r="B102" s="37">
        <v>42694</v>
      </c>
      <c r="C102" s="152">
        <v>0.64583333333333337</v>
      </c>
      <c r="D102" s="39" t="s">
        <v>1</v>
      </c>
      <c r="E102" s="179">
        <v>7</v>
      </c>
      <c r="F102" s="40" t="s">
        <v>0</v>
      </c>
      <c r="G102" s="188">
        <v>0</v>
      </c>
      <c r="H102" s="41" t="s">
        <v>109</v>
      </c>
      <c r="I102" s="41"/>
      <c r="J102" s="43"/>
      <c r="K102" s="193" t="s">
        <v>1</v>
      </c>
      <c r="L102" s="193" t="s">
        <v>0</v>
      </c>
      <c r="M102" s="193"/>
      <c r="N102" s="130"/>
      <c r="O102" s="146"/>
      <c r="P102" s="130"/>
      <c r="Q102" s="146"/>
      <c r="R102" s="1"/>
    </row>
    <row r="103" spans="2:18" ht="15.75" thickBot="1" x14ac:dyDescent="0.3">
      <c r="B103" s="44">
        <v>42694</v>
      </c>
      <c r="C103" s="153">
        <v>0.66666666666666663</v>
      </c>
      <c r="D103" s="46" t="s">
        <v>109</v>
      </c>
      <c r="E103" s="180">
        <v>56</v>
      </c>
      <c r="F103" s="47" t="s">
        <v>114</v>
      </c>
      <c r="G103" s="189">
        <v>44</v>
      </c>
      <c r="H103" s="48" t="s">
        <v>1</v>
      </c>
      <c r="I103" s="48"/>
      <c r="J103" s="50" t="s">
        <v>109</v>
      </c>
      <c r="K103" s="193" t="s">
        <v>109</v>
      </c>
      <c r="L103" s="193" t="s">
        <v>114</v>
      </c>
      <c r="M103" s="193"/>
      <c r="O103" s="146"/>
      <c r="Q103" s="146"/>
      <c r="R103" s="1"/>
    </row>
    <row r="104" spans="2:18" x14ac:dyDescent="0.25">
      <c r="B104" s="22">
        <v>42701</v>
      </c>
      <c r="C104" s="150">
        <v>0.5625</v>
      </c>
      <c r="D104" s="32" t="s">
        <v>109</v>
      </c>
      <c r="E104" s="178">
        <v>68</v>
      </c>
      <c r="F104" s="33" t="s">
        <v>116</v>
      </c>
      <c r="G104" s="187">
        <v>53</v>
      </c>
      <c r="H104" s="34" t="s">
        <v>5</v>
      </c>
      <c r="I104" s="138" t="s">
        <v>109</v>
      </c>
      <c r="J104" s="36"/>
      <c r="K104" s="193" t="s">
        <v>109</v>
      </c>
      <c r="L104" s="194" t="s">
        <v>116</v>
      </c>
      <c r="M104" s="193"/>
      <c r="O104" s="146"/>
      <c r="Q104" s="146"/>
      <c r="R104" s="1"/>
    </row>
    <row r="105" spans="2:18" x14ac:dyDescent="0.25">
      <c r="B105" s="37">
        <v>42701</v>
      </c>
      <c r="C105" s="151">
        <v>0.58333333333333337</v>
      </c>
      <c r="D105" s="32" t="s">
        <v>1</v>
      </c>
      <c r="E105" s="179">
        <v>44</v>
      </c>
      <c r="F105" s="33" t="s">
        <v>5</v>
      </c>
      <c r="G105" s="187">
        <v>38</v>
      </c>
      <c r="H105" s="34" t="s">
        <v>123</v>
      </c>
      <c r="I105" s="34"/>
      <c r="J105" s="36"/>
      <c r="K105" s="193" t="s">
        <v>1</v>
      </c>
      <c r="L105" s="193" t="s">
        <v>5</v>
      </c>
      <c r="M105" s="193"/>
      <c r="O105" s="146"/>
      <c r="Q105" s="146"/>
      <c r="R105" s="1"/>
    </row>
    <row r="106" spans="2:18" x14ac:dyDescent="0.25">
      <c r="B106" s="37">
        <v>42701</v>
      </c>
      <c r="C106" s="151">
        <v>0.60416666666666663</v>
      </c>
      <c r="D106" s="32" t="s">
        <v>116</v>
      </c>
      <c r="E106" s="179">
        <v>30</v>
      </c>
      <c r="F106" s="33" t="s">
        <v>1</v>
      </c>
      <c r="G106" s="187">
        <v>31</v>
      </c>
      <c r="H106" s="34" t="s">
        <v>109</v>
      </c>
      <c r="I106" s="34"/>
      <c r="J106" s="36"/>
      <c r="K106" s="193" t="s">
        <v>1</v>
      </c>
      <c r="L106" s="193" t="s">
        <v>116</v>
      </c>
      <c r="M106" s="193"/>
      <c r="O106" s="146"/>
      <c r="Q106" s="146"/>
      <c r="R106" s="1"/>
    </row>
    <row r="107" spans="2:18" x14ac:dyDescent="0.25">
      <c r="B107" s="37">
        <v>42701</v>
      </c>
      <c r="C107" s="151">
        <v>0.625</v>
      </c>
      <c r="D107" s="32" t="s">
        <v>5</v>
      </c>
      <c r="E107" s="179">
        <v>60</v>
      </c>
      <c r="F107" s="33" t="s">
        <v>109</v>
      </c>
      <c r="G107" s="187">
        <v>47</v>
      </c>
      <c r="H107" s="34" t="s">
        <v>123</v>
      </c>
      <c r="I107" s="34"/>
      <c r="J107" s="36"/>
      <c r="K107" s="193" t="s">
        <v>5</v>
      </c>
      <c r="L107" s="192" t="s">
        <v>109</v>
      </c>
      <c r="M107" s="193"/>
      <c r="O107" s="146"/>
      <c r="Q107" s="146"/>
      <c r="R107" s="1"/>
    </row>
    <row r="108" spans="2:18" x14ac:dyDescent="0.25">
      <c r="B108" s="37">
        <v>42701</v>
      </c>
      <c r="C108" s="152">
        <v>0.64583333333333337</v>
      </c>
      <c r="D108" s="39" t="s">
        <v>5</v>
      </c>
      <c r="E108" s="179">
        <v>65</v>
      </c>
      <c r="F108" s="40" t="s">
        <v>116</v>
      </c>
      <c r="G108" s="188">
        <v>34</v>
      </c>
      <c r="H108" s="41" t="s">
        <v>1</v>
      </c>
      <c r="I108" s="41"/>
      <c r="J108" s="43"/>
      <c r="K108" s="193" t="s">
        <v>5</v>
      </c>
      <c r="L108" s="193" t="s">
        <v>116</v>
      </c>
      <c r="M108" s="193"/>
      <c r="O108" s="146"/>
      <c r="Q108" s="146"/>
      <c r="R108" s="1"/>
    </row>
    <row r="109" spans="2:18" ht="15.75" thickBot="1" x14ac:dyDescent="0.3">
      <c r="B109" s="44">
        <v>42701</v>
      </c>
      <c r="C109" s="153">
        <v>0.66666666666666663</v>
      </c>
      <c r="D109" s="46" t="s">
        <v>109</v>
      </c>
      <c r="E109" s="180">
        <v>54</v>
      </c>
      <c r="F109" s="47" t="s">
        <v>1</v>
      </c>
      <c r="G109" s="189">
        <v>41</v>
      </c>
      <c r="H109" s="48" t="s">
        <v>5</v>
      </c>
      <c r="I109" s="57"/>
      <c r="J109" s="59" t="s">
        <v>5</v>
      </c>
      <c r="K109" s="193" t="s">
        <v>109</v>
      </c>
      <c r="L109" s="193" t="s">
        <v>1</v>
      </c>
      <c r="M109" s="193"/>
      <c r="O109" s="146"/>
      <c r="Q109" s="146"/>
      <c r="R109" s="1"/>
    </row>
    <row r="110" spans="2:18" x14ac:dyDescent="0.25">
      <c r="B110" s="22">
        <v>42708</v>
      </c>
      <c r="C110" s="150">
        <v>0.5625</v>
      </c>
      <c r="D110" s="32" t="s">
        <v>114</v>
      </c>
      <c r="E110" s="178">
        <v>49</v>
      </c>
      <c r="F110" s="33" t="s">
        <v>5</v>
      </c>
      <c r="G110" s="187">
        <v>48</v>
      </c>
      <c r="H110" s="34" t="s">
        <v>1</v>
      </c>
      <c r="I110" s="139" t="s">
        <v>5</v>
      </c>
      <c r="J110" s="28"/>
      <c r="K110" s="193" t="s">
        <v>114</v>
      </c>
      <c r="L110" s="193" t="s">
        <v>5</v>
      </c>
      <c r="M110" s="193"/>
      <c r="O110" s="146"/>
      <c r="Q110" s="146"/>
      <c r="R110" s="1"/>
    </row>
    <row r="111" spans="2:18" x14ac:dyDescent="0.25">
      <c r="B111" s="37">
        <v>42708</v>
      </c>
      <c r="C111" s="151">
        <v>0.58333333333333337</v>
      </c>
      <c r="D111" s="32" t="s">
        <v>1</v>
      </c>
      <c r="E111" s="179">
        <v>68</v>
      </c>
      <c r="F111" s="33" t="s">
        <v>116</v>
      </c>
      <c r="G111" s="187">
        <v>26</v>
      </c>
      <c r="H111" s="34" t="s">
        <v>117</v>
      </c>
      <c r="I111" s="41"/>
      <c r="J111" s="43"/>
      <c r="K111" s="193" t="s">
        <v>1</v>
      </c>
      <c r="L111" s="193" t="s">
        <v>116</v>
      </c>
      <c r="M111" s="193"/>
      <c r="O111" s="146"/>
      <c r="R111" s="1"/>
    </row>
    <row r="112" spans="2:18" x14ac:dyDescent="0.25">
      <c r="B112" s="37">
        <v>42708</v>
      </c>
      <c r="C112" s="151">
        <v>0.60416666666666663</v>
      </c>
      <c r="D112" s="32" t="s">
        <v>114</v>
      </c>
      <c r="E112" s="179">
        <v>84</v>
      </c>
      <c r="F112" s="33" t="s">
        <v>116</v>
      </c>
      <c r="G112" s="187">
        <v>12</v>
      </c>
      <c r="H112" s="34" t="s">
        <v>5</v>
      </c>
      <c r="I112" s="41"/>
      <c r="J112" s="43"/>
      <c r="K112" s="193" t="s">
        <v>114</v>
      </c>
      <c r="L112" s="194" t="s">
        <v>116</v>
      </c>
      <c r="M112" s="193"/>
      <c r="O112" s="147"/>
      <c r="R112" s="1"/>
    </row>
    <row r="113" spans="2:18" x14ac:dyDescent="0.25">
      <c r="B113" s="37">
        <v>42708</v>
      </c>
      <c r="C113" s="151">
        <v>0.625</v>
      </c>
      <c r="D113" s="32" t="s">
        <v>5</v>
      </c>
      <c r="E113" s="179">
        <v>64</v>
      </c>
      <c r="F113" s="33" t="s">
        <v>1</v>
      </c>
      <c r="G113" s="187">
        <v>27</v>
      </c>
      <c r="H113" s="34" t="s">
        <v>123</v>
      </c>
      <c r="I113" s="41"/>
      <c r="J113" s="43"/>
      <c r="K113" s="193" t="s">
        <v>5</v>
      </c>
      <c r="L113" s="193" t="s">
        <v>1</v>
      </c>
      <c r="M113" s="193"/>
      <c r="O113" s="147"/>
      <c r="R113" s="1"/>
    </row>
    <row r="114" spans="2:18" x14ac:dyDescent="0.25">
      <c r="B114" s="37">
        <v>42708</v>
      </c>
      <c r="C114" s="152">
        <v>0.64583333333333337</v>
      </c>
      <c r="D114" s="39" t="s">
        <v>114</v>
      </c>
      <c r="E114" s="179">
        <v>44</v>
      </c>
      <c r="F114" s="40" t="s">
        <v>1</v>
      </c>
      <c r="G114" s="188">
        <v>54</v>
      </c>
      <c r="H114" s="41" t="s">
        <v>123</v>
      </c>
      <c r="I114" s="41"/>
      <c r="J114" s="43"/>
      <c r="K114" s="193" t="s">
        <v>1</v>
      </c>
      <c r="L114" s="193" t="s">
        <v>114</v>
      </c>
      <c r="M114" s="193"/>
      <c r="O114" s="147"/>
      <c r="R114" s="1"/>
    </row>
    <row r="115" spans="2:18" ht="15.75" thickBot="1" x14ac:dyDescent="0.3">
      <c r="B115" s="44">
        <v>42708</v>
      </c>
      <c r="C115" s="153">
        <v>0.66666666666666663</v>
      </c>
      <c r="D115" s="46" t="s">
        <v>116</v>
      </c>
      <c r="E115" s="180">
        <v>13</v>
      </c>
      <c r="F115" s="47" t="s">
        <v>5</v>
      </c>
      <c r="G115" s="189">
        <v>73</v>
      </c>
      <c r="H115" s="48" t="s">
        <v>117</v>
      </c>
      <c r="I115" s="48"/>
      <c r="J115" s="50" t="s">
        <v>114</v>
      </c>
      <c r="K115" s="193" t="s">
        <v>5</v>
      </c>
      <c r="L115" s="193" t="s">
        <v>116</v>
      </c>
      <c r="M115" s="193"/>
      <c r="O115" s="147"/>
      <c r="R115" s="1"/>
    </row>
    <row r="116" spans="2:18" x14ac:dyDescent="0.25">
      <c r="B116" s="22">
        <v>42715</v>
      </c>
      <c r="C116" s="150">
        <v>0.5625</v>
      </c>
      <c r="D116" s="32" t="s">
        <v>114</v>
      </c>
      <c r="E116" s="178">
        <v>29</v>
      </c>
      <c r="F116" s="33" t="s">
        <v>109</v>
      </c>
      <c r="G116" s="187">
        <v>20</v>
      </c>
      <c r="H116" s="34" t="s">
        <v>123</v>
      </c>
      <c r="I116" s="138" t="s">
        <v>114</v>
      </c>
      <c r="J116" s="36"/>
      <c r="K116" s="193" t="s">
        <v>114</v>
      </c>
      <c r="L116" s="193" t="s">
        <v>109</v>
      </c>
      <c r="M116" s="193"/>
      <c r="O116" s="147"/>
      <c r="R116" s="1"/>
    </row>
    <row r="117" spans="2:18" x14ac:dyDescent="0.25">
      <c r="B117" s="37">
        <v>42715</v>
      </c>
      <c r="C117" s="151">
        <v>0.58333333333333337</v>
      </c>
      <c r="D117" s="32" t="s">
        <v>116</v>
      </c>
      <c r="E117" s="179">
        <v>54</v>
      </c>
      <c r="F117" s="33" t="s">
        <v>0</v>
      </c>
      <c r="G117" s="187">
        <v>52</v>
      </c>
      <c r="H117" s="34" t="s">
        <v>109</v>
      </c>
      <c r="I117" s="34"/>
      <c r="J117" s="36"/>
      <c r="K117" s="193" t="s">
        <v>123</v>
      </c>
      <c r="L117" s="193" t="s">
        <v>0</v>
      </c>
      <c r="M117" s="193"/>
      <c r="O117" s="147"/>
      <c r="R117" s="1"/>
    </row>
    <row r="118" spans="2:18" x14ac:dyDescent="0.25">
      <c r="B118" s="37">
        <v>42715</v>
      </c>
      <c r="C118" s="151">
        <v>0.60416666666666663</v>
      </c>
      <c r="D118" s="32" t="s">
        <v>109</v>
      </c>
      <c r="E118" s="179">
        <v>33</v>
      </c>
      <c r="F118" s="33" t="s">
        <v>0</v>
      </c>
      <c r="G118" s="187">
        <v>30</v>
      </c>
      <c r="H118" s="34" t="s">
        <v>123</v>
      </c>
      <c r="I118" s="34"/>
      <c r="J118" s="36"/>
      <c r="K118" s="193" t="s">
        <v>109</v>
      </c>
      <c r="L118" s="193" t="s">
        <v>0</v>
      </c>
      <c r="M118" s="193"/>
      <c r="O118" s="147"/>
      <c r="R118" s="1"/>
    </row>
    <row r="119" spans="2:18" x14ac:dyDescent="0.25">
      <c r="B119" s="37">
        <v>42715</v>
      </c>
      <c r="C119" s="151">
        <v>0.625</v>
      </c>
      <c r="D119" s="32" t="s">
        <v>116</v>
      </c>
      <c r="E119" s="179">
        <v>6</v>
      </c>
      <c r="F119" s="33" t="s">
        <v>114</v>
      </c>
      <c r="G119" s="187">
        <v>39</v>
      </c>
      <c r="H119" s="34" t="s">
        <v>0</v>
      </c>
      <c r="I119" s="34"/>
      <c r="J119" s="36"/>
      <c r="K119" s="193" t="s">
        <v>114</v>
      </c>
      <c r="L119" s="193" t="s">
        <v>116</v>
      </c>
      <c r="M119" s="193"/>
      <c r="O119" s="148"/>
      <c r="R119" s="1"/>
    </row>
    <row r="120" spans="2:18" x14ac:dyDescent="0.25">
      <c r="B120" s="37">
        <v>42715</v>
      </c>
      <c r="C120" s="152">
        <v>0.64583333333333337</v>
      </c>
      <c r="D120" s="39" t="s">
        <v>0</v>
      </c>
      <c r="E120" s="179">
        <v>51</v>
      </c>
      <c r="F120" s="33" t="s">
        <v>114</v>
      </c>
      <c r="G120" s="188">
        <v>43</v>
      </c>
      <c r="H120" s="41" t="s">
        <v>109</v>
      </c>
      <c r="I120" s="41"/>
      <c r="J120" s="43"/>
      <c r="K120" s="193" t="s">
        <v>0</v>
      </c>
      <c r="L120" s="193" t="s">
        <v>114</v>
      </c>
      <c r="M120" s="193"/>
      <c r="R120" s="1"/>
    </row>
    <row r="121" spans="2:18" ht="15.75" thickBot="1" x14ac:dyDescent="0.3">
      <c r="B121" s="44">
        <v>42715</v>
      </c>
      <c r="C121" s="153">
        <v>0.66666666666666663</v>
      </c>
      <c r="D121" s="46" t="s">
        <v>116</v>
      </c>
      <c r="E121" s="180">
        <v>27</v>
      </c>
      <c r="F121" s="47" t="s">
        <v>109</v>
      </c>
      <c r="G121" s="189">
        <v>38</v>
      </c>
      <c r="H121" s="48" t="s">
        <v>117</v>
      </c>
      <c r="I121" s="48"/>
      <c r="J121" s="50" t="s">
        <v>109</v>
      </c>
      <c r="K121" s="193" t="s">
        <v>109</v>
      </c>
      <c r="L121" s="194" t="s">
        <v>116</v>
      </c>
      <c r="M121" s="193"/>
      <c r="R121" s="1"/>
    </row>
    <row r="122" spans="2:18" x14ac:dyDescent="0.25">
      <c r="B122" s="145" t="s">
        <v>0</v>
      </c>
      <c r="C122" s="134" t="s">
        <v>33</v>
      </c>
      <c r="D122" s="62">
        <f>COUNTIF(D$80:D$121,"Brewers")</f>
        <v>6</v>
      </c>
      <c r="E122" s="154"/>
      <c r="F122" s="25">
        <f>COUNTIF(F$80:F$121,"Brewers")</f>
        <v>6</v>
      </c>
      <c r="G122" s="190"/>
      <c r="H122" s="64">
        <f>COUNTIF(H$80:H$121,"Brewers")</f>
        <v>6</v>
      </c>
      <c r="I122" s="80"/>
      <c r="J122" s="107"/>
      <c r="K122" s="1">
        <f t="shared" si="5"/>
        <v>6</v>
      </c>
      <c r="M122" s="1"/>
      <c r="R122" s="1"/>
    </row>
    <row r="123" spans="2:18" x14ac:dyDescent="0.25">
      <c r="B123" s="66" t="s">
        <v>109</v>
      </c>
      <c r="C123" s="135" t="s">
        <v>33</v>
      </c>
      <c r="D123" s="68">
        <f>COUNTIF(D$80:D$121,"Cubs")</f>
        <v>6</v>
      </c>
      <c r="E123" s="181"/>
      <c r="F123" s="40">
        <f>COUNTIF(F$80:F$121,"Cubs")</f>
        <v>6</v>
      </c>
      <c r="G123" s="108"/>
      <c r="H123" s="70">
        <f>COUNTIF(H$80:H$121,"Cubs")</f>
        <v>6</v>
      </c>
      <c r="I123" s="1"/>
      <c r="J123" s="1"/>
      <c r="K123" s="1">
        <f t="shared" si="5"/>
        <v>6</v>
      </c>
      <c r="M123" s="1"/>
      <c r="R123" s="1"/>
    </row>
    <row r="124" spans="2:18" x14ac:dyDescent="0.25">
      <c r="B124" s="66" t="s">
        <v>108</v>
      </c>
      <c r="C124" s="135" t="s">
        <v>33</v>
      </c>
      <c r="D124" s="68">
        <f>COUNTIF(D$80:D$121,"L'boro")</f>
        <v>8</v>
      </c>
      <c r="E124" s="181"/>
      <c r="F124" s="40">
        <f>COUNTIF(F$80:F$121,"L'boro")</f>
        <v>7</v>
      </c>
      <c r="G124" s="108"/>
      <c r="H124" s="70">
        <f>COUNTIF(H$80:H$121,"L'boro")</f>
        <v>8</v>
      </c>
      <c r="I124" s="1"/>
      <c r="J124" s="1"/>
      <c r="K124" s="1">
        <f t="shared" si="5"/>
        <v>7</v>
      </c>
      <c r="L124" s="1"/>
      <c r="M124" s="1"/>
      <c r="R124" s="1"/>
    </row>
    <row r="125" spans="2:18" x14ac:dyDescent="0.25">
      <c r="B125" s="71" t="s">
        <v>5</v>
      </c>
      <c r="C125" s="135" t="s">
        <v>33</v>
      </c>
      <c r="D125" s="68">
        <f>COUNTIF(D$80:D$121,"Pyros")</f>
        <v>7</v>
      </c>
      <c r="E125" s="181"/>
      <c r="F125" s="40">
        <f>COUNTIF(F$80:F$121,"Pyros")</f>
        <v>8</v>
      </c>
      <c r="G125" s="108"/>
      <c r="H125" s="70">
        <f>COUNTIF(H$80:H$121,"Pyros")</f>
        <v>7</v>
      </c>
      <c r="I125" s="1"/>
      <c r="J125" s="1"/>
      <c r="K125" s="1">
        <f t="shared" si="5"/>
        <v>8</v>
      </c>
      <c r="L125" s="1"/>
      <c r="M125" s="1"/>
      <c r="R125" s="1"/>
    </row>
    <row r="126" spans="2:18" x14ac:dyDescent="0.25">
      <c r="B126" s="71" t="s">
        <v>114</v>
      </c>
      <c r="C126" s="135" t="s">
        <v>33</v>
      </c>
      <c r="D126" s="68">
        <f>COUNTIF(D$80:D$121,"Pyros Jnrs")</f>
        <v>8</v>
      </c>
      <c r="E126" s="181"/>
      <c r="F126" s="40">
        <f>COUNTIF(F$80:F$121,"Pyros Jnrs")</f>
        <v>7</v>
      </c>
      <c r="G126" s="108"/>
      <c r="H126" s="70">
        <f>COUNTIF(H$80:H$121,"Pyros Jnr")</f>
        <v>8</v>
      </c>
      <c r="I126" s="1"/>
      <c r="J126" s="1"/>
      <c r="K126" s="1">
        <f t="shared" si="5"/>
        <v>7</v>
      </c>
      <c r="L126" s="1"/>
      <c r="M126" s="1"/>
      <c r="R126" s="1"/>
    </row>
    <row r="127" spans="2:18" ht="15.75" thickBot="1" x14ac:dyDescent="0.3">
      <c r="B127" s="73" t="s">
        <v>1</v>
      </c>
      <c r="C127" s="136" t="s">
        <v>33</v>
      </c>
      <c r="D127" s="75">
        <f>COUNTIF(D$80:D$121,"Tigers")</f>
        <v>7</v>
      </c>
      <c r="E127" s="182"/>
      <c r="F127" s="47">
        <f>COUNTIF(F$80:F$121,"Tigers")</f>
        <v>8</v>
      </c>
      <c r="G127" s="182"/>
      <c r="H127" s="77">
        <f>COUNTIF(H$80:H$121,"Tigers")</f>
        <v>7</v>
      </c>
      <c r="I127" s="1"/>
      <c r="J127" s="1"/>
      <c r="K127" s="1">
        <f t="shared" si="5"/>
        <v>8</v>
      </c>
      <c r="L127" s="1"/>
      <c r="M127" s="1"/>
      <c r="R127" s="1"/>
    </row>
    <row r="128" spans="2:18" x14ac:dyDescent="0.25">
      <c r="I128" s="1"/>
      <c r="J128" s="1"/>
      <c r="K128" s="1"/>
      <c r="L128" s="1"/>
      <c r="M128" s="1"/>
      <c r="R128" s="1"/>
    </row>
    <row r="129" spans="2:18" x14ac:dyDescent="0.25">
      <c r="B129" s="29"/>
      <c r="I129" s="1"/>
      <c r="J129" s="1"/>
      <c r="K129" s="1"/>
      <c r="L129" s="1"/>
      <c r="M129" s="1"/>
      <c r="R129" s="1"/>
    </row>
    <row r="130" spans="2:18" x14ac:dyDescent="0.25">
      <c r="B130" s="29"/>
      <c r="I130" s="1"/>
      <c r="J130" s="1"/>
      <c r="K130" s="1"/>
      <c r="L130" s="1"/>
      <c r="M130" s="1"/>
      <c r="R130" s="1"/>
    </row>
    <row r="131" spans="2:18" x14ac:dyDescent="0.25">
      <c r="B131" s="4"/>
      <c r="K131" s="1"/>
      <c r="L131" s="1"/>
      <c r="M131" s="1"/>
      <c r="R131" s="1"/>
    </row>
    <row r="132" spans="2:18" x14ac:dyDescent="0.25">
      <c r="B132" s="4"/>
      <c r="K132" s="1"/>
      <c r="L132" s="1"/>
      <c r="M132" s="1"/>
      <c r="R132" s="1"/>
    </row>
    <row r="133" spans="2:18" x14ac:dyDescent="0.25">
      <c r="B133" s="4"/>
      <c r="K133" s="1"/>
      <c r="L133" s="1"/>
      <c r="M133" s="1"/>
      <c r="R133" s="1"/>
    </row>
    <row r="134" spans="2:18" x14ac:dyDescent="0.25">
      <c r="K134" s="1"/>
      <c r="L134" s="1"/>
      <c r="M134" s="1"/>
      <c r="R134" s="1"/>
    </row>
    <row r="135" spans="2:18" x14ac:dyDescent="0.25">
      <c r="K135" s="1"/>
      <c r="L135" s="1"/>
      <c r="M135" s="1"/>
      <c r="R135" s="1"/>
    </row>
    <row r="136" spans="2:18" x14ac:dyDescent="0.25">
      <c r="K136" s="1"/>
      <c r="L136" s="1"/>
      <c r="M136" s="1"/>
      <c r="R136" s="1"/>
    </row>
    <row r="137" spans="2:18" x14ac:dyDescent="0.25">
      <c r="K137" s="1"/>
      <c r="L137" s="1"/>
      <c r="M137" s="1"/>
      <c r="R137" s="1"/>
    </row>
    <row r="138" spans="2:18" x14ac:dyDescent="0.25">
      <c r="K138" s="1"/>
      <c r="L138" s="1"/>
      <c r="M138" s="1"/>
      <c r="R138" s="1"/>
    </row>
    <row r="139" spans="2:18" x14ac:dyDescent="0.25">
      <c r="K139" s="1"/>
      <c r="L139" s="1"/>
      <c r="M139" s="1"/>
      <c r="R139" s="1"/>
    </row>
    <row r="140" spans="2:18" x14ac:dyDescent="0.25">
      <c r="K140" s="1"/>
      <c r="L140" s="1"/>
      <c r="M140" s="1"/>
      <c r="R140" s="1"/>
    </row>
    <row r="141" spans="2:18" x14ac:dyDescent="0.25">
      <c r="K141" s="1"/>
      <c r="L141" s="1"/>
      <c r="M141" s="1"/>
      <c r="R141" s="1"/>
    </row>
    <row r="142" spans="2:18" x14ac:dyDescent="0.25">
      <c r="K142" s="1"/>
      <c r="L142" s="1"/>
      <c r="M142" s="1"/>
      <c r="R142" s="1"/>
    </row>
    <row r="143" spans="2:18" x14ac:dyDescent="0.25">
      <c r="R143" s="1"/>
    </row>
    <row r="144" spans="2:18" x14ac:dyDescent="0.25">
      <c r="R144" s="1"/>
    </row>
    <row r="145" spans="18:18" x14ac:dyDescent="0.25">
      <c r="R145" s="1"/>
    </row>
    <row r="146" spans="18:18" x14ac:dyDescent="0.25">
      <c r="R146" s="1"/>
    </row>
    <row r="147" spans="18:18" x14ac:dyDescent="0.25">
      <c r="R147" s="1"/>
    </row>
    <row r="148" spans="18:18" x14ac:dyDescent="0.25">
      <c r="R148" s="1"/>
    </row>
    <row r="149" spans="18:18" x14ac:dyDescent="0.25">
      <c r="R149" s="1"/>
    </row>
    <row r="150" spans="18:18" x14ac:dyDescent="0.25">
      <c r="R150" s="1"/>
    </row>
    <row r="151" spans="18:18" x14ac:dyDescent="0.25">
      <c r="R151" s="1"/>
    </row>
    <row r="152" spans="18:18" x14ac:dyDescent="0.25">
      <c r="R152" s="1"/>
    </row>
    <row r="153" spans="18:18" x14ac:dyDescent="0.25">
      <c r="R153" s="1"/>
    </row>
    <row r="154" spans="18:18" x14ac:dyDescent="0.25">
      <c r="R154" s="1"/>
    </row>
    <row r="155" spans="18:18" x14ac:dyDescent="0.25">
      <c r="R155" s="1"/>
    </row>
    <row r="156" spans="18:18" x14ac:dyDescent="0.25">
      <c r="R156" s="1"/>
    </row>
    <row r="157" spans="18:18" x14ac:dyDescent="0.25">
      <c r="R157" s="1"/>
    </row>
    <row r="158" spans="18:18" x14ac:dyDescent="0.25">
      <c r="R158" s="1"/>
    </row>
    <row r="159" spans="18:18" x14ac:dyDescent="0.25">
      <c r="R159" s="1"/>
    </row>
    <row r="160" spans="18:18" x14ac:dyDescent="0.25">
      <c r="R160" s="1"/>
    </row>
    <row r="161" spans="16:21" x14ac:dyDescent="0.25">
      <c r="R161" s="1"/>
    </row>
    <row r="162" spans="16:21" x14ac:dyDescent="0.25">
      <c r="R162" s="1"/>
    </row>
    <row r="163" spans="16:21" x14ac:dyDescent="0.25">
      <c r="R163" s="1"/>
    </row>
    <row r="164" spans="16:21" x14ac:dyDescent="0.25">
      <c r="R164" s="1"/>
    </row>
    <row r="165" spans="16:21" x14ac:dyDescent="0.25">
      <c r="R165" s="1"/>
    </row>
    <row r="166" spans="16:21" x14ac:dyDescent="0.25">
      <c r="R166" s="1"/>
    </row>
    <row r="167" spans="16:21" x14ac:dyDescent="0.25">
      <c r="R167" s="1"/>
    </row>
    <row r="168" spans="16:21" x14ac:dyDescent="0.25">
      <c r="R168" s="1"/>
    </row>
    <row r="169" spans="16:21" x14ac:dyDescent="0.25">
      <c r="R169" s="1"/>
    </row>
    <row r="170" spans="16:21" x14ac:dyDescent="0.25">
      <c r="P170" s="104"/>
      <c r="Q170" s="104"/>
      <c r="R170" s="104"/>
      <c r="S170" s="104"/>
    </row>
    <row r="171" spans="16:21" x14ac:dyDescent="0.25">
      <c r="P171" s="104"/>
      <c r="Q171" s="143"/>
      <c r="R171" s="144"/>
      <c r="S171" s="80"/>
      <c r="T171" s="104"/>
    </row>
    <row r="172" spans="16:21" x14ac:dyDescent="0.25">
      <c r="P172" s="104"/>
      <c r="Q172" s="104"/>
      <c r="R172" s="144"/>
      <c r="S172" s="80"/>
      <c r="T172" s="149"/>
      <c r="U172" s="3"/>
    </row>
    <row r="173" spans="16:21" x14ac:dyDescent="0.25">
      <c r="P173" s="104"/>
      <c r="Q173" s="104"/>
      <c r="R173" s="144"/>
      <c r="S173" s="80"/>
      <c r="T173" s="149"/>
      <c r="U173" s="3"/>
    </row>
    <row r="174" spans="16:21" x14ac:dyDescent="0.25">
      <c r="P174" s="104"/>
      <c r="Q174" s="104"/>
      <c r="R174" s="104"/>
      <c r="S174" s="104"/>
      <c r="T174" s="149"/>
      <c r="U174" s="3"/>
    </row>
    <row r="175" spans="16:21" x14ac:dyDescent="0.25">
      <c r="R175" s="1"/>
      <c r="T175" s="149"/>
      <c r="U175" s="3"/>
    </row>
    <row r="176" spans="16:21" x14ac:dyDescent="0.25">
      <c r="R176" s="1"/>
      <c r="T176" s="3"/>
      <c r="U176" s="3"/>
    </row>
    <row r="177" spans="20:21" x14ac:dyDescent="0.25">
      <c r="T177" s="3"/>
      <c r="U177" s="3"/>
    </row>
  </sheetData>
  <mergeCells count="7">
    <mergeCell ref="B2:M2"/>
    <mergeCell ref="B78:J78"/>
    <mergeCell ref="B20:C20"/>
    <mergeCell ref="B11:C11"/>
    <mergeCell ref="L5:L10"/>
    <mergeCell ref="G14:G19"/>
    <mergeCell ref="H5:H10"/>
  </mergeCells>
  <pageMargins left="0.25" right="0.25" top="0.75" bottom="0.75" header="0.3" footer="0.3"/>
  <pageSetup paperSize="9" scale="7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workbookViewId="0">
      <selection activeCell="D11" sqref="D11:G47"/>
    </sheetView>
  </sheetViews>
  <sheetFormatPr defaultRowHeight="15" x14ac:dyDescent="0.25"/>
  <cols>
    <col min="1" max="8" width="9.140625" style="1"/>
    <col min="9" max="9" width="9.140625" style="1" customWidth="1"/>
    <col min="10" max="11" width="9.140625" style="3" customWidth="1"/>
    <col min="12" max="12" width="9.140625" style="4"/>
    <col min="13" max="18" width="9.140625" style="1" customWidth="1"/>
    <col min="19" max="19" width="9.140625" style="1"/>
    <col min="20" max="21" width="9.140625" style="3"/>
    <col min="22" max="16384" width="9.140625" style="1"/>
  </cols>
  <sheetData>
    <row r="1" spans="2:28" ht="23.25" x14ac:dyDescent="0.35">
      <c r="C1" s="223" t="s">
        <v>62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S1" s="2" t="s">
        <v>9</v>
      </c>
    </row>
    <row r="2" spans="2:28" x14ac:dyDescent="0.25">
      <c r="S2" s="2" t="s">
        <v>10</v>
      </c>
    </row>
    <row r="3" spans="2:28" x14ac:dyDescent="0.25">
      <c r="B3" s="5"/>
      <c r="C3" s="6"/>
      <c r="D3" s="7" t="s">
        <v>11</v>
      </c>
      <c r="E3" s="8">
        <v>41210</v>
      </c>
      <c r="F3" s="82">
        <f>E3+7</f>
        <v>41217</v>
      </c>
      <c r="G3" s="8">
        <f t="shared" ref="G3:V3" si="0">F3+7</f>
        <v>41224</v>
      </c>
      <c r="H3" s="8">
        <f>G3+21</f>
        <v>41245</v>
      </c>
      <c r="I3" s="9">
        <f>H3+7</f>
        <v>41252</v>
      </c>
      <c r="J3" s="9">
        <f t="shared" si="0"/>
        <v>41259</v>
      </c>
      <c r="K3" s="8">
        <f>J3+21</f>
        <v>41280</v>
      </c>
      <c r="L3" s="8">
        <f>K3+7</f>
        <v>41287</v>
      </c>
      <c r="M3" s="8">
        <f t="shared" si="0"/>
        <v>41294</v>
      </c>
      <c r="N3" s="8">
        <f t="shared" si="0"/>
        <v>41301</v>
      </c>
      <c r="O3" s="8">
        <f t="shared" si="0"/>
        <v>41308</v>
      </c>
      <c r="P3" s="8">
        <f t="shared" si="0"/>
        <v>41315</v>
      </c>
      <c r="Q3" s="8">
        <f t="shared" si="0"/>
        <v>41322</v>
      </c>
      <c r="R3" s="8">
        <f t="shared" si="0"/>
        <v>41329</v>
      </c>
      <c r="S3" s="8">
        <f t="shared" si="0"/>
        <v>41336</v>
      </c>
      <c r="T3" s="8">
        <f t="shared" si="0"/>
        <v>41343</v>
      </c>
      <c r="U3" s="8">
        <f t="shared" si="0"/>
        <v>41350</v>
      </c>
      <c r="V3" s="8">
        <f t="shared" si="0"/>
        <v>41357</v>
      </c>
      <c r="W3" s="8" t="s">
        <v>12</v>
      </c>
      <c r="X3" s="10" t="s">
        <v>13</v>
      </c>
      <c r="Z3" s="11" t="s">
        <v>14</v>
      </c>
      <c r="AA3" s="3"/>
      <c r="AB3" s="3"/>
    </row>
    <row r="4" spans="2:28" x14ac:dyDescent="0.25">
      <c r="B4" s="78"/>
      <c r="C4" s="12">
        <v>1</v>
      </c>
      <c r="D4" s="7" t="s">
        <v>0</v>
      </c>
      <c r="E4" s="7" t="s">
        <v>41</v>
      </c>
      <c r="F4" s="84" t="s">
        <v>41</v>
      </c>
      <c r="G4" s="7" t="s">
        <v>41</v>
      </c>
      <c r="H4" s="7" t="s">
        <v>41</v>
      </c>
      <c r="I4" s="7" t="s">
        <v>15</v>
      </c>
      <c r="J4" s="7" t="s">
        <v>15</v>
      </c>
      <c r="K4" s="7" t="s">
        <v>41</v>
      </c>
      <c r="L4" s="7" t="s">
        <v>41</v>
      </c>
      <c r="M4" s="40" t="s">
        <v>41</v>
      </c>
      <c r="N4" s="234" t="s">
        <v>86</v>
      </c>
      <c r="O4" s="234" t="s">
        <v>61</v>
      </c>
      <c r="P4" s="7" t="s">
        <v>15</v>
      </c>
      <c r="Q4" s="234" t="s">
        <v>61</v>
      </c>
      <c r="R4" s="7" t="s">
        <v>41</v>
      </c>
      <c r="S4" s="7" t="s">
        <v>41</v>
      </c>
      <c r="T4" s="7" t="s">
        <v>15</v>
      </c>
      <c r="U4" s="234" t="s">
        <v>61</v>
      </c>
      <c r="V4" s="7" t="s">
        <v>41</v>
      </c>
      <c r="W4" s="7">
        <f t="shared" ref="W4:W9" si="1">COUNTIF(E4:V4,"Playing")+COUNTIF(E4:V4,"Tourney")</f>
        <v>10</v>
      </c>
      <c r="X4" s="13">
        <f t="shared" ref="X4:X9" si="2">W4*30</f>
        <v>300</v>
      </c>
      <c r="Z4" s="11" t="s">
        <v>16</v>
      </c>
      <c r="AA4" s="3"/>
      <c r="AB4" s="3"/>
    </row>
    <row r="5" spans="2:28" x14ac:dyDescent="0.25">
      <c r="B5" s="79"/>
      <c r="C5" s="12">
        <v>2</v>
      </c>
      <c r="D5" s="7" t="s">
        <v>1</v>
      </c>
      <c r="E5" s="7" t="s">
        <v>41</v>
      </c>
      <c r="F5" s="84" t="s">
        <v>41</v>
      </c>
      <c r="G5" s="7" t="s">
        <v>15</v>
      </c>
      <c r="H5" s="7" t="s">
        <v>41</v>
      </c>
      <c r="I5" s="7" t="s">
        <v>15</v>
      </c>
      <c r="J5" s="7" t="s">
        <v>41</v>
      </c>
      <c r="K5" s="7" t="s">
        <v>41</v>
      </c>
      <c r="L5" s="7" t="s">
        <v>41</v>
      </c>
      <c r="M5" s="7" t="s">
        <v>15</v>
      </c>
      <c r="N5" s="235"/>
      <c r="O5" s="235"/>
      <c r="P5" s="7" t="s">
        <v>41</v>
      </c>
      <c r="Q5" s="235"/>
      <c r="R5" s="40" t="s">
        <v>41</v>
      </c>
      <c r="S5" s="7" t="s">
        <v>15</v>
      </c>
      <c r="T5" s="7" t="s">
        <v>41</v>
      </c>
      <c r="U5" s="235"/>
      <c r="V5" s="7" t="s">
        <v>41</v>
      </c>
      <c r="W5" s="7">
        <f t="shared" si="1"/>
        <v>10</v>
      </c>
      <c r="X5" s="13">
        <f t="shared" si="2"/>
        <v>300</v>
      </c>
      <c r="Z5" s="11" t="s">
        <v>18</v>
      </c>
      <c r="AA5" s="3"/>
      <c r="AB5" s="3"/>
    </row>
    <row r="6" spans="2:28" x14ac:dyDescent="0.25">
      <c r="B6" s="79"/>
      <c r="C6" s="12">
        <v>3</v>
      </c>
      <c r="D6" s="7" t="s">
        <v>3</v>
      </c>
      <c r="E6" s="7" t="s">
        <v>41</v>
      </c>
      <c r="F6" s="84" t="s">
        <v>15</v>
      </c>
      <c r="G6" s="7" t="s">
        <v>41</v>
      </c>
      <c r="H6" s="7" t="s">
        <v>41</v>
      </c>
      <c r="I6" s="7" t="s">
        <v>41</v>
      </c>
      <c r="J6" s="7" t="s">
        <v>15</v>
      </c>
      <c r="K6" s="7" t="s">
        <v>15</v>
      </c>
      <c r="L6" s="7" t="s">
        <v>41</v>
      </c>
      <c r="M6" s="7" t="s">
        <v>15</v>
      </c>
      <c r="N6" s="235"/>
      <c r="O6" s="235"/>
      <c r="P6" s="7" t="s">
        <v>41</v>
      </c>
      <c r="Q6" s="235"/>
      <c r="R6" s="7" t="s">
        <v>41</v>
      </c>
      <c r="S6" s="7" t="s">
        <v>41</v>
      </c>
      <c r="T6" s="7" t="s">
        <v>41</v>
      </c>
      <c r="U6" s="235"/>
      <c r="V6" s="7" t="s">
        <v>15</v>
      </c>
      <c r="W6" s="7">
        <f t="shared" si="1"/>
        <v>9</v>
      </c>
      <c r="X6" s="13">
        <f t="shared" si="2"/>
        <v>270</v>
      </c>
      <c r="Z6" s="11" t="s">
        <v>19</v>
      </c>
      <c r="AA6" s="3"/>
      <c r="AB6" s="3"/>
    </row>
    <row r="7" spans="2:28" x14ac:dyDescent="0.25">
      <c r="B7" s="79"/>
      <c r="C7" s="12">
        <v>4</v>
      </c>
      <c r="D7" s="7" t="s">
        <v>4</v>
      </c>
      <c r="E7" s="7" t="s">
        <v>41</v>
      </c>
      <c r="F7" s="83" t="s">
        <v>15</v>
      </c>
      <c r="G7" s="7" t="s">
        <v>41</v>
      </c>
      <c r="H7" s="7" t="s">
        <v>15</v>
      </c>
      <c r="I7" s="7" t="s">
        <v>41</v>
      </c>
      <c r="J7" s="7" t="s">
        <v>41</v>
      </c>
      <c r="K7" s="7" t="s">
        <v>41</v>
      </c>
      <c r="L7" s="7" t="s">
        <v>15</v>
      </c>
      <c r="M7" s="7" t="s">
        <v>41</v>
      </c>
      <c r="N7" s="235"/>
      <c r="O7" s="235"/>
      <c r="P7" s="7" t="s">
        <v>15</v>
      </c>
      <c r="Q7" s="235"/>
      <c r="R7" s="7" t="s">
        <v>41</v>
      </c>
      <c r="S7" s="7" t="s">
        <v>15</v>
      </c>
      <c r="T7" s="7" t="s">
        <v>41</v>
      </c>
      <c r="U7" s="235"/>
      <c r="V7" s="7" t="s">
        <v>41</v>
      </c>
      <c r="W7" s="7">
        <f t="shared" si="1"/>
        <v>9</v>
      </c>
      <c r="X7" s="13">
        <f t="shared" si="2"/>
        <v>270</v>
      </c>
      <c r="Z7" s="11" t="s">
        <v>20</v>
      </c>
      <c r="AA7" s="3"/>
      <c r="AB7" s="3"/>
    </row>
    <row r="8" spans="2:28" x14ac:dyDescent="0.25">
      <c r="B8" s="79"/>
      <c r="C8" s="12">
        <v>5</v>
      </c>
      <c r="D8" s="7" t="s">
        <v>5</v>
      </c>
      <c r="E8" s="7" t="s">
        <v>15</v>
      </c>
      <c r="F8" s="83" t="s">
        <v>41</v>
      </c>
      <c r="G8" s="7" t="s">
        <v>15</v>
      </c>
      <c r="H8" s="7" t="s">
        <v>41</v>
      </c>
      <c r="I8" s="7" t="s">
        <v>41</v>
      </c>
      <c r="J8" s="7" t="s">
        <v>41</v>
      </c>
      <c r="K8" s="7" t="s">
        <v>15</v>
      </c>
      <c r="L8" s="7" t="s">
        <v>15</v>
      </c>
      <c r="M8" s="7" t="s">
        <v>41</v>
      </c>
      <c r="N8" s="235"/>
      <c r="O8" s="235"/>
      <c r="P8" s="7" t="s">
        <v>41</v>
      </c>
      <c r="Q8" s="235"/>
      <c r="R8" s="7" t="s">
        <v>41</v>
      </c>
      <c r="S8" s="7" t="s">
        <v>41</v>
      </c>
      <c r="T8" s="40" t="s">
        <v>41</v>
      </c>
      <c r="U8" s="235"/>
      <c r="V8" s="7" t="s">
        <v>41</v>
      </c>
      <c r="W8" s="7">
        <f t="shared" si="1"/>
        <v>10</v>
      </c>
      <c r="X8" s="13">
        <f t="shared" si="2"/>
        <v>300</v>
      </c>
      <c r="Z8" s="11" t="s">
        <v>22</v>
      </c>
      <c r="AA8" s="3"/>
      <c r="AB8" s="3"/>
    </row>
    <row r="9" spans="2:28" x14ac:dyDescent="0.25">
      <c r="B9" s="79"/>
      <c r="C9" s="12">
        <v>6</v>
      </c>
      <c r="D9" s="7" t="s">
        <v>2</v>
      </c>
      <c r="E9" s="7" t="s">
        <v>15</v>
      </c>
      <c r="F9" s="83" t="s">
        <v>41</v>
      </c>
      <c r="G9" s="7" t="s">
        <v>41</v>
      </c>
      <c r="H9" s="7" t="s">
        <v>15</v>
      </c>
      <c r="I9" s="7" t="s">
        <v>41</v>
      </c>
      <c r="J9" s="7" t="s">
        <v>41</v>
      </c>
      <c r="K9" s="7" t="s">
        <v>41</v>
      </c>
      <c r="L9" s="7" t="s">
        <v>41</v>
      </c>
      <c r="M9" s="40" t="s">
        <v>41</v>
      </c>
      <c r="N9" s="236"/>
      <c r="O9" s="236"/>
      <c r="P9" s="7" t="s">
        <v>41</v>
      </c>
      <c r="Q9" s="236"/>
      <c r="R9" s="7" t="s">
        <v>15</v>
      </c>
      <c r="S9" s="7" t="s">
        <v>41</v>
      </c>
      <c r="T9" s="7" t="s">
        <v>41</v>
      </c>
      <c r="U9" s="236"/>
      <c r="V9" s="7" t="s">
        <v>15</v>
      </c>
      <c r="W9" s="7">
        <f t="shared" si="1"/>
        <v>10</v>
      </c>
      <c r="X9" s="13">
        <f t="shared" si="2"/>
        <v>300</v>
      </c>
      <c r="Z9" s="11" t="s">
        <v>23</v>
      </c>
      <c r="AA9" s="3"/>
      <c r="AB9" s="3"/>
    </row>
    <row r="10" spans="2:28" ht="15.75" thickBot="1" x14ac:dyDescent="0.3"/>
    <row r="11" spans="2:28" s="14" customFormat="1" ht="30.75" thickBot="1" x14ac:dyDescent="0.3">
      <c r="C11" s="15" t="s">
        <v>25</v>
      </c>
      <c r="D11" s="16" t="s">
        <v>26</v>
      </c>
      <c r="E11" s="16" t="s">
        <v>27</v>
      </c>
      <c r="F11" s="17" t="s">
        <v>28</v>
      </c>
      <c r="G11" s="17" t="s">
        <v>29</v>
      </c>
      <c r="H11" s="18" t="s">
        <v>30</v>
      </c>
      <c r="I11" s="18" t="s">
        <v>34</v>
      </c>
      <c r="J11" s="19" t="s">
        <v>42</v>
      </c>
      <c r="K11" s="20" t="s">
        <v>43</v>
      </c>
      <c r="L11" s="106" t="s">
        <v>47</v>
      </c>
      <c r="M11" s="106" t="s">
        <v>84</v>
      </c>
      <c r="N11" s="106"/>
      <c r="O11" s="21"/>
      <c r="Q11" s="15" t="s">
        <v>25</v>
      </c>
      <c r="R11" s="16" t="s">
        <v>26</v>
      </c>
      <c r="S11" s="16"/>
      <c r="T11" s="17" t="s">
        <v>28</v>
      </c>
      <c r="U11" s="17"/>
      <c r="V11" s="18" t="s">
        <v>30</v>
      </c>
      <c r="W11" s="19" t="s">
        <v>31</v>
      </c>
      <c r="X11" s="20" t="s">
        <v>32</v>
      </c>
    </row>
    <row r="12" spans="2:28" x14ac:dyDescent="0.25">
      <c r="B12" s="22">
        <v>41210</v>
      </c>
      <c r="C12" s="23">
        <v>0.4375</v>
      </c>
      <c r="D12" s="24" t="s">
        <v>0</v>
      </c>
      <c r="E12" s="24">
        <v>66</v>
      </c>
      <c r="F12" s="25" t="s">
        <v>4</v>
      </c>
      <c r="G12" s="25">
        <v>40</v>
      </c>
      <c r="H12" s="26" t="s">
        <v>1</v>
      </c>
      <c r="I12" s="26" t="s">
        <v>1</v>
      </c>
      <c r="J12" s="27" t="s">
        <v>1</v>
      </c>
      <c r="K12" s="28"/>
      <c r="L12" s="107"/>
      <c r="M12" s="107"/>
      <c r="N12" s="107"/>
      <c r="O12" s="29"/>
      <c r="P12" s="22">
        <v>40914</v>
      </c>
      <c r="Q12" s="23"/>
      <c r="R12" s="24" t="s">
        <v>1</v>
      </c>
      <c r="S12" s="24"/>
      <c r="T12" s="25" t="s">
        <v>0</v>
      </c>
      <c r="U12" s="25"/>
      <c r="V12" s="26" t="s">
        <v>2</v>
      </c>
      <c r="W12" s="27"/>
      <c r="X12" s="28"/>
    </row>
    <row r="13" spans="2:28" x14ac:dyDescent="0.25">
      <c r="B13" s="30">
        <v>41210</v>
      </c>
      <c r="C13" s="31">
        <v>0.45833333333333331</v>
      </c>
      <c r="D13" s="32" t="s">
        <v>4</v>
      </c>
      <c r="E13" s="32">
        <v>71</v>
      </c>
      <c r="F13" s="33" t="s">
        <v>1</v>
      </c>
      <c r="G13" s="33">
        <v>47</v>
      </c>
      <c r="H13" s="34" t="s">
        <v>0</v>
      </c>
      <c r="I13" s="34" t="s">
        <v>0</v>
      </c>
      <c r="J13" s="35"/>
      <c r="K13" s="36"/>
      <c r="L13" s="107"/>
      <c r="M13" s="107"/>
      <c r="N13" s="107"/>
      <c r="O13" s="29"/>
      <c r="P13" s="30">
        <v>40914</v>
      </c>
      <c r="Q13" s="31"/>
      <c r="R13" s="32" t="s">
        <v>1</v>
      </c>
      <c r="S13" s="32"/>
      <c r="T13" s="33" t="s">
        <v>2</v>
      </c>
      <c r="U13" s="33"/>
      <c r="V13" s="34" t="s">
        <v>0</v>
      </c>
      <c r="W13" s="35"/>
      <c r="X13" s="36"/>
    </row>
    <row r="14" spans="2:28" x14ac:dyDescent="0.25">
      <c r="B14" s="30">
        <v>41210</v>
      </c>
      <c r="C14" s="31">
        <v>0.47916666666666669</v>
      </c>
      <c r="D14" s="32" t="s">
        <v>3</v>
      </c>
      <c r="E14" s="32">
        <v>59</v>
      </c>
      <c r="F14" s="33" t="s">
        <v>0</v>
      </c>
      <c r="G14" s="33">
        <v>86</v>
      </c>
      <c r="H14" s="34" t="s">
        <v>4</v>
      </c>
      <c r="I14" s="34" t="s">
        <v>4</v>
      </c>
      <c r="J14" s="35"/>
      <c r="K14" s="36"/>
      <c r="L14" s="107"/>
      <c r="M14" s="107"/>
      <c r="N14" s="107"/>
      <c r="O14" s="29"/>
      <c r="P14" s="30">
        <v>40914</v>
      </c>
      <c r="Q14" s="31"/>
      <c r="R14" s="32" t="s">
        <v>0</v>
      </c>
      <c r="S14" s="32"/>
      <c r="T14" s="33" t="s">
        <v>2</v>
      </c>
      <c r="U14" s="33"/>
      <c r="V14" s="34" t="s">
        <v>1</v>
      </c>
      <c r="W14" s="35"/>
      <c r="X14" s="36"/>
    </row>
    <row r="15" spans="2:28" x14ac:dyDescent="0.25">
      <c r="B15" s="30">
        <v>41210</v>
      </c>
      <c r="C15" s="31">
        <v>0.5</v>
      </c>
      <c r="D15" s="32" t="s">
        <v>3</v>
      </c>
      <c r="E15" s="32">
        <v>67</v>
      </c>
      <c r="F15" s="33" t="s">
        <v>4</v>
      </c>
      <c r="G15" s="33">
        <v>72</v>
      </c>
      <c r="H15" s="34" t="s">
        <v>1</v>
      </c>
      <c r="I15" s="34" t="s">
        <v>1</v>
      </c>
      <c r="J15" s="35"/>
      <c r="K15" s="36"/>
      <c r="L15" s="107" t="s">
        <v>0</v>
      </c>
      <c r="M15" s="107" t="s">
        <v>1</v>
      </c>
      <c r="N15" s="107"/>
      <c r="O15" s="29"/>
      <c r="P15" s="30">
        <v>40914</v>
      </c>
      <c r="Q15" s="31"/>
      <c r="R15" s="32" t="s">
        <v>0</v>
      </c>
      <c r="S15" s="32"/>
      <c r="T15" s="33" t="s">
        <v>1</v>
      </c>
      <c r="U15" s="33"/>
      <c r="V15" s="34" t="s">
        <v>2</v>
      </c>
      <c r="W15" s="35"/>
      <c r="X15" s="36"/>
    </row>
    <row r="16" spans="2:28" x14ac:dyDescent="0.25">
      <c r="B16" s="37">
        <v>41210</v>
      </c>
      <c r="C16" s="38">
        <v>0.52083333333333337</v>
      </c>
      <c r="D16" s="39" t="s">
        <v>1</v>
      </c>
      <c r="E16" s="39">
        <v>54</v>
      </c>
      <c r="F16" s="40" t="s">
        <v>0</v>
      </c>
      <c r="G16" s="40">
        <v>97</v>
      </c>
      <c r="H16" s="41" t="s">
        <v>3</v>
      </c>
      <c r="I16" s="41" t="s">
        <v>4</v>
      </c>
      <c r="J16" s="42"/>
      <c r="K16" s="43"/>
      <c r="L16" s="107"/>
      <c r="M16" s="107"/>
      <c r="N16" s="107"/>
      <c r="O16" s="29"/>
      <c r="P16" s="37">
        <v>40914</v>
      </c>
      <c r="Q16" s="38"/>
      <c r="R16" s="39" t="s">
        <v>2</v>
      </c>
      <c r="S16" s="39"/>
      <c r="T16" s="40" t="s">
        <v>1</v>
      </c>
      <c r="U16" s="40"/>
      <c r="V16" s="41" t="s">
        <v>0</v>
      </c>
      <c r="W16" s="42"/>
      <c r="X16" s="43"/>
    </row>
    <row r="17" spans="2:24" ht="15.75" thickBot="1" x14ac:dyDescent="0.3">
      <c r="B17" s="44">
        <v>41210</v>
      </c>
      <c r="C17" s="45">
        <v>4.1666666666666664E-2</v>
      </c>
      <c r="D17" s="46" t="s">
        <v>1</v>
      </c>
      <c r="E17" s="46">
        <v>55</v>
      </c>
      <c r="F17" s="47" t="s">
        <v>3</v>
      </c>
      <c r="G17" s="47">
        <v>87</v>
      </c>
      <c r="H17" s="48" t="s">
        <v>0</v>
      </c>
      <c r="I17" s="48" t="s">
        <v>0</v>
      </c>
      <c r="J17" s="49"/>
      <c r="K17" s="50" t="s">
        <v>1</v>
      </c>
      <c r="L17" s="107"/>
      <c r="M17" s="107"/>
      <c r="N17" s="107"/>
      <c r="O17" s="29"/>
      <c r="P17" s="44">
        <v>40914</v>
      </c>
      <c r="Q17" s="45"/>
      <c r="R17" s="46" t="s">
        <v>2</v>
      </c>
      <c r="S17" s="46"/>
      <c r="T17" s="47" t="s">
        <v>0</v>
      </c>
      <c r="U17" s="47"/>
      <c r="V17" s="48" t="s">
        <v>1</v>
      </c>
      <c r="W17" s="49"/>
      <c r="X17" s="50"/>
    </row>
    <row r="18" spans="2:24" x14ac:dyDescent="0.25">
      <c r="B18" s="22">
        <v>41217</v>
      </c>
      <c r="C18" s="23">
        <v>0.4375</v>
      </c>
      <c r="D18" s="24" t="s">
        <v>5</v>
      </c>
      <c r="E18" s="24">
        <v>37</v>
      </c>
      <c r="F18" s="25" t="s">
        <v>2</v>
      </c>
      <c r="G18" s="25">
        <v>67</v>
      </c>
      <c r="H18" s="26" t="s">
        <v>1</v>
      </c>
      <c r="I18" s="26" t="s">
        <v>1</v>
      </c>
      <c r="J18" s="27" t="s">
        <v>1</v>
      </c>
      <c r="K18" s="28"/>
      <c r="L18" s="107" t="s">
        <v>2</v>
      </c>
      <c r="M18" s="107" t="s">
        <v>5</v>
      </c>
      <c r="N18" s="107"/>
      <c r="O18" s="29"/>
      <c r="P18" s="22">
        <v>40921</v>
      </c>
      <c r="Q18" s="23"/>
      <c r="R18" s="24" t="s">
        <v>0</v>
      </c>
      <c r="S18" s="24"/>
      <c r="T18" s="25" t="s">
        <v>2</v>
      </c>
      <c r="U18" s="25"/>
      <c r="V18" s="26" t="s">
        <v>1</v>
      </c>
      <c r="W18" s="27"/>
      <c r="X18" s="28"/>
    </row>
    <row r="19" spans="2:24" x14ac:dyDescent="0.25">
      <c r="B19" s="30">
        <v>41217</v>
      </c>
      <c r="C19" s="31">
        <v>0.45833333333333331</v>
      </c>
      <c r="D19" s="32" t="s">
        <v>0</v>
      </c>
      <c r="E19" s="32">
        <v>51</v>
      </c>
      <c r="F19" s="33" t="s">
        <v>1</v>
      </c>
      <c r="G19" s="33">
        <v>73</v>
      </c>
      <c r="H19" s="34" t="s">
        <v>2</v>
      </c>
      <c r="I19" s="34" t="s">
        <v>2</v>
      </c>
      <c r="J19" s="35"/>
      <c r="K19" s="36"/>
      <c r="L19" s="107" t="s">
        <v>1</v>
      </c>
      <c r="M19" s="107" t="s">
        <v>0</v>
      </c>
      <c r="N19" s="107"/>
      <c r="O19" s="29"/>
      <c r="P19" s="30">
        <v>40921</v>
      </c>
      <c r="Q19" s="31"/>
      <c r="R19" s="32" t="s">
        <v>0</v>
      </c>
      <c r="S19" s="32"/>
      <c r="T19" s="33" t="s">
        <v>1</v>
      </c>
      <c r="U19" s="33"/>
      <c r="V19" s="34" t="s">
        <v>2</v>
      </c>
      <c r="W19" s="35"/>
      <c r="X19" s="36"/>
    </row>
    <row r="20" spans="2:24" x14ac:dyDescent="0.25">
      <c r="B20" s="30">
        <v>41217</v>
      </c>
      <c r="C20" s="31">
        <v>0.47916666666666669</v>
      </c>
      <c r="D20" s="32" t="s">
        <v>0</v>
      </c>
      <c r="E20" s="32">
        <v>91</v>
      </c>
      <c r="F20" s="33" t="s">
        <v>5</v>
      </c>
      <c r="G20" s="33">
        <v>29</v>
      </c>
      <c r="H20" s="34" t="s">
        <v>1</v>
      </c>
      <c r="I20" s="34" t="s">
        <v>2</v>
      </c>
      <c r="J20" s="35"/>
      <c r="K20" s="36"/>
      <c r="L20" s="107" t="s">
        <v>0</v>
      </c>
      <c r="M20" s="107" t="s">
        <v>5</v>
      </c>
      <c r="N20" s="107"/>
      <c r="O20" s="29"/>
      <c r="P20" s="30">
        <v>40921</v>
      </c>
      <c r="Q20" s="31"/>
      <c r="R20" s="32" t="s">
        <v>2</v>
      </c>
      <c r="S20" s="32"/>
      <c r="T20" s="33" t="s">
        <v>1</v>
      </c>
      <c r="U20" s="33"/>
      <c r="V20" s="34" t="s">
        <v>0</v>
      </c>
      <c r="W20" s="35"/>
      <c r="X20" s="36"/>
    </row>
    <row r="21" spans="2:24" x14ac:dyDescent="0.25">
      <c r="B21" s="30">
        <v>41217</v>
      </c>
      <c r="C21" s="31">
        <v>0.5</v>
      </c>
      <c r="D21" s="32" t="s">
        <v>1</v>
      </c>
      <c r="E21" s="32">
        <v>67</v>
      </c>
      <c r="F21" s="33" t="s">
        <v>2</v>
      </c>
      <c r="G21" s="33">
        <v>56</v>
      </c>
      <c r="H21" s="34" t="s">
        <v>0</v>
      </c>
      <c r="I21" s="34" t="s">
        <v>5</v>
      </c>
      <c r="J21" s="35"/>
      <c r="K21" s="36"/>
      <c r="L21" s="107" t="s">
        <v>1</v>
      </c>
      <c r="M21" s="107" t="s">
        <v>2</v>
      </c>
      <c r="N21" s="107"/>
      <c r="O21" s="29"/>
      <c r="P21" s="30">
        <v>40921</v>
      </c>
      <c r="Q21" s="31"/>
      <c r="R21" s="32" t="s">
        <v>2</v>
      </c>
      <c r="S21" s="32"/>
      <c r="T21" s="33" t="s">
        <v>0</v>
      </c>
      <c r="U21" s="33"/>
      <c r="V21" s="34" t="s">
        <v>1</v>
      </c>
      <c r="W21" s="35"/>
      <c r="X21" s="36"/>
    </row>
    <row r="22" spans="2:24" x14ac:dyDescent="0.25">
      <c r="B22" s="37">
        <v>41217</v>
      </c>
      <c r="C22" s="38">
        <v>0.52083333333333337</v>
      </c>
      <c r="D22" s="39" t="s">
        <v>2</v>
      </c>
      <c r="E22" s="39">
        <v>77</v>
      </c>
      <c r="F22" s="40" t="s">
        <v>0</v>
      </c>
      <c r="G22" s="40">
        <v>69</v>
      </c>
      <c r="H22" s="41" t="s">
        <v>5</v>
      </c>
      <c r="I22" s="41" t="s">
        <v>5</v>
      </c>
      <c r="J22" s="42"/>
      <c r="K22" s="43"/>
      <c r="L22" s="107" t="s">
        <v>2</v>
      </c>
      <c r="M22" s="107" t="s">
        <v>0</v>
      </c>
      <c r="N22" s="107"/>
      <c r="O22" s="29"/>
      <c r="P22" s="37">
        <v>40921</v>
      </c>
      <c r="Q22" s="38"/>
      <c r="R22" s="39" t="s">
        <v>1</v>
      </c>
      <c r="S22" s="39"/>
      <c r="T22" s="40" t="s">
        <v>0</v>
      </c>
      <c r="U22" s="40"/>
      <c r="V22" s="41" t="s">
        <v>2</v>
      </c>
      <c r="W22" s="42"/>
      <c r="X22" s="43"/>
    </row>
    <row r="23" spans="2:24" ht="15.75" thickBot="1" x14ac:dyDescent="0.3">
      <c r="B23" s="44">
        <v>41217</v>
      </c>
      <c r="C23" s="45">
        <v>4.1666666666666664E-2</v>
      </c>
      <c r="D23" s="46" t="s">
        <v>5</v>
      </c>
      <c r="E23" s="46">
        <v>39</v>
      </c>
      <c r="F23" s="47" t="s">
        <v>1</v>
      </c>
      <c r="G23" s="47">
        <v>33</v>
      </c>
      <c r="H23" s="48" t="s">
        <v>0</v>
      </c>
      <c r="I23" s="48" t="s">
        <v>0</v>
      </c>
      <c r="J23" s="49"/>
      <c r="K23" s="50" t="s">
        <v>2</v>
      </c>
      <c r="L23" s="107" t="s">
        <v>5</v>
      </c>
      <c r="M23" s="107" t="s">
        <v>1</v>
      </c>
      <c r="N23" s="107"/>
      <c r="O23" s="29"/>
      <c r="P23" s="44">
        <v>40921</v>
      </c>
      <c r="Q23" s="45"/>
      <c r="R23" s="46" t="s">
        <v>1</v>
      </c>
      <c r="S23" s="46"/>
      <c r="T23" s="47" t="s">
        <v>2</v>
      </c>
      <c r="U23" s="47"/>
      <c r="V23" s="48" t="s">
        <v>0</v>
      </c>
      <c r="W23" s="49"/>
      <c r="X23" s="50"/>
    </row>
    <row r="24" spans="2:24" x14ac:dyDescent="0.25">
      <c r="B24" s="22">
        <v>41224</v>
      </c>
      <c r="C24" s="23">
        <v>0.4375</v>
      </c>
      <c r="D24" s="32" t="s">
        <v>4</v>
      </c>
      <c r="E24" s="32">
        <v>79</v>
      </c>
      <c r="F24" s="33" t="s">
        <v>3</v>
      </c>
      <c r="G24" s="33">
        <v>102</v>
      </c>
      <c r="H24" s="34" t="s">
        <v>2</v>
      </c>
      <c r="I24" s="34" t="s">
        <v>2</v>
      </c>
      <c r="J24" s="35" t="s">
        <v>2</v>
      </c>
      <c r="K24" s="36"/>
      <c r="L24" s="107"/>
      <c r="M24" s="107"/>
      <c r="N24" s="107"/>
      <c r="O24" s="29"/>
      <c r="P24" s="22">
        <v>40928</v>
      </c>
      <c r="Q24" s="23"/>
      <c r="R24" s="24" t="s">
        <v>2</v>
      </c>
      <c r="S24" s="24"/>
      <c r="T24" s="25" t="s">
        <v>5</v>
      </c>
      <c r="U24" s="33"/>
      <c r="V24" s="34" t="s">
        <v>0</v>
      </c>
      <c r="W24" s="35"/>
      <c r="X24" s="36"/>
    </row>
    <row r="25" spans="2:24" x14ac:dyDescent="0.25">
      <c r="B25" s="30">
        <v>41224</v>
      </c>
      <c r="C25" s="31">
        <v>0.45833333333333331</v>
      </c>
      <c r="D25" s="32" t="s">
        <v>4</v>
      </c>
      <c r="E25" s="32">
        <v>47</v>
      </c>
      <c r="F25" s="33" t="s">
        <v>0</v>
      </c>
      <c r="G25" s="33">
        <v>88</v>
      </c>
      <c r="H25" s="34" t="s">
        <v>3</v>
      </c>
      <c r="I25" s="34" t="s">
        <v>3</v>
      </c>
      <c r="J25" s="35"/>
      <c r="K25" s="36"/>
      <c r="L25" s="107"/>
      <c r="M25" s="107"/>
      <c r="N25" s="107"/>
      <c r="O25" s="29"/>
      <c r="P25" s="30">
        <v>40928</v>
      </c>
      <c r="Q25" s="31"/>
      <c r="R25" s="32" t="s">
        <v>2</v>
      </c>
      <c r="S25" s="32"/>
      <c r="T25" s="33" t="s">
        <v>0</v>
      </c>
      <c r="U25" s="33"/>
      <c r="V25" s="34" t="s">
        <v>5</v>
      </c>
      <c r="W25" s="35"/>
      <c r="X25" s="36"/>
    </row>
    <row r="26" spans="2:24" x14ac:dyDescent="0.25">
      <c r="B26" s="30">
        <v>41224</v>
      </c>
      <c r="C26" s="31">
        <v>0.47916666666666669</v>
      </c>
      <c r="D26" s="32" t="s">
        <v>3</v>
      </c>
      <c r="E26" s="32">
        <v>61</v>
      </c>
      <c r="F26" s="33" t="s">
        <v>2</v>
      </c>
      <c r="G26" s="33">
        <v>47</v>
      </c>
      <c r="H26" s="34" t="s">
        <v>4</v>
      </c>
      <c r="I26" s="34" t="s">
        <v>4</v>
      </c>
      <c r="J26" s="35"/>
      <c r="K26" s="36"/>
      <c r="L26" s="107"/>
      <c r="M26" s="107"/>
      <c r="N26" s="107"/>
      <c r="O26" s="29"/>
      <c r="P26" s="30">
        <v>40928</v>
      </c>
      <c r="Q26" s="31"/>
      <c r="R26" s="32" t="s">
        <v>5</v>
      </c>
      <c r="S26" s="32"/>
      <c r="T26" s="33" t="s">
        <v>0</v>
      </c>
      <c r="U26" s="33"/>
      <c r="V26" s="34" t="s">
        <v>2</v>
      </c>
      <c r="W26" s="35"/>
      <c r="X26" s="36"/>
    </row>
    <row r="27" spans="2:24" x14ac:dyDescent="0.25">
      <c r="B27" s="30">
        <v>41224</v>
      </c>
      <c r="C27" s="31">
        <v>0.5</v>
      </c>
      <c r="D27" s="32" t="s">
        <v>2</v>
      </c>
      <c r="E27" s="32">
        <v>58</v>
      </c>
      <c r="F27" s="33" t="s">
        <v>4</v>
      </c>
      <c r="G27" s="33">
        <v>45</v>
      </c>
      <c r="H27" s="34" t="s">
        <v>0</v>
      </c>
      <c r="I27" s="34" t="s">
        <v>0</v>
      </c>
      <c r="J27" s="35"/>
      <c r="K27" s="36"/>
      <c r="L27" s="107"/>
      <c r="M27" s="107"/>
      <c r="N27" s="107"/>
      <c r="O27" s="29"/>
      <c r="P27" s="30">
        <v>40928</v>
      </c>
      <c r="Q27" s="31"/>
      <c r="R27" s="32" t="s">
        <v>5</v>
      </c>
      <c r="S27" s="32"/>
      <c r="T27" s="33" t="s">
        <v>2</v>
      </c>
      <c r="U27" s="33"/>
      <c r="V27" s="51" t="s">
        <v>0</v>
      </c>
      <c r="W27" s="35"/>
      <c r="X27" s="36"/>
    </row>
    <row r="28" spans="2:24" x14ac:dyDescent="0.25">
      <c r="B28" s="37">
        <v>41224</v>
      </c>
      <c r="C28" s="38">
        <v>0.52083333333333337</v>
      </c>
      <c r="D28" s="39" t="s">
        <v>0</v>
      </c>
      <c r="E28" s="39">
        <v>69</v>
      </c>
      <c r="F28" s="40" t="s">
        <v>3</v>
      </c>
      <c r="G28" s="40">
        <v>66</v>
      </c>
      <c r="H28" s="41" t="s">
        <v>2</v>
      </c>
      <c r="I28" s="41" t="s">
        <v>4</v>
      </c>
      <c r="J28" s="42"/>
      <c r="K28" s="43"/>
      <c r="L28" s="107"/>
      <c r="M28" s="107"/>
      <c r="N28" s="107"/>
      <c r="O28" s="29"/>
      <c r="P28" s="37">
        <v>40928</v>
      </c>
      <c r="Q28" s="52"/>
      <c r="R28" s="39" t="s">
        <v>0</v>
      </c>
      <c r="S28" s="53"/>
      <c r="T28" s="40" t="s">
        <v>2</v>
      </c>
      <c r="U28" s="10"/>
      <c r="V28" s="54" t="s">
        <v>5</v>
      </c>
      <c r="W28" s="42"/>
      <c r="X28" s="43"/>
    </row>
    <row r="29" spans="2:24" ht="15.75" thickBot="1" x14ac:dyDescent="0.3">
      <c r="B29" s="44">
        <v>41224</v>
      </c>
      <c r="C29" s="45">
        <v>4.1666666666666664E-2</v>
      </c>
      <c r="D29" s="55" t="s">
        <v>0</v>
      </c>
      <c r="E29" s="55">
        <v>60</v>
      </c>
      <c r="F29" s="56" t="s">
        <v>2</v>
      </c>
      <c r="G29" s="56">
        <v>74</v>
      </c>
      <c r="H29" s="57" t="s">
        <v>3</v>
      </c>
      <c r="I29" s="57" t="s">
        <v>4</v>
      </c>
      <c r="J29" s="58"/>
      <c r="K29" s="59" t="s">
        <v>3</v>
      </c>
      <c r="L29" s="107" t="s">
        <v>2</v>
      </c>
      <c r="M29" s="107" t="s">
        <v>0</v>
      </c>
      <c r="N29" s="107"/>
      <c r="O29" s="29"/>
      <c r="P29" s="44">
        <v>40928</v>
      </c>
      <c r="Q29" s="45"/>
      <c r="R29" s="46" t="s">
        <v>0</v>
      </c>
      <c r="S29" s="46"/>
      <c r="T29" s="47" t="s">
        <v>5</v>
      </c>
      <c r="U29" s="56"/>
      <c r="V29" s="57" t="s">
        <v>2</v>
      </c>
      <c r="W29" s="58"/>
      <c r="X29" s="59"/>
    </row>
    <row r="30" spans="2:24" x14ac:dyDescent="0.25">
      <c r="B30" s="22">
        <v>41245</v>
      </c>
      <c r="C30" s="23">
        <v>0.4375</v>
      </c>
      <c r="D30" s="24" t="s">
        <v>5</v>
      </c>
      <c r="E30" s="24">
        <v>62</v>
      </c>
      <c r="F30" s="25" t="s">
        <v>3</v>
      </c>
      <c r="G30" s="25">
        <v>86</v>
      </c>
      <c r="H30" s="26" t="s">
        <v>0</v>
      </c>
      <c r="I30" s="26" t="s">
        <v>0</v>
      </c>
      <c r="J30" s="27" t="s">
        <v>3</v>
      </c>
      <c r="K30" s="28"/>
      <c r="L30" s="107"/>
      <c r="M30" s="107"/>
      <c r="N30" s="107"/>
      <c r="O30" s="29"/>
      <c r="P30" s="22">
        <v>40949</v>
      </c>
      <c r="Q30" s="23"/>
      <c r="R30" s="24" t="s">
        <v>5</v>
      </c>
      <c r="S30" s="24"/>
      <c r="T30" s="25" t="s">
        <v>1</v>
      </c>
      <c r="U30" s="25"/>
      <c r="V30" s="26" t="s">
        <v>2</v>
      </c>
      <c r="W30" s="27"/>
      <c r="X30" s="28"/>
    </row>
    <row r="31" spans="2:24" x14ac:dyDescent="0.25">
      <c r="B31" s="30">
        <v>41245</v>
      </c>
      <c r="C31" s="31">
        <v>0.45833333333333331</v>
      </c>
      <c r="D31" s="32" t="s">
        <v>3</v>
      </c>
      <c r="E31" s="32">
        <v>87</v>
      </c>
      <c r="F31" s="33" t="s">
        <v>0</v>
      </c>
      <c r="G31" s="33">
        <v>78</v>
      </c>
      <c r="H31" s="34" t="s">
        <v>5</v>
      </c>
      <c r="I31" s="34" t="s">
        <v>5</v>
      </c>
      <c r="J31" s="35"/>
      <c r="K31" s="36"/>
      <c r="L31" s="107"/>
      <c r="M31" s="107"/>
      <c r="N31" s="107"/>
      <c r="O31" s="29"/>
      <c r="P31" s="30">
        <v>40949</v>
      </c>
      <c r="Q31" s="31"/>
      <c r="R31" s="32" t="s">
        <v>5</v>
      </c>
      <c r="S31" s="32"/>
      <c r="T31" s="33" t="s">
        <v>2</v>
      </c>
      <c r="U31" s="33"/>
      <c r="V31" s="34" t="s">
        <v>1</v>
      </c>
      <c r="W31" s="35"/>
      <c r="X31" s="36"/>
    </row>
    <row r="32" spans="2:24" x14ac:dyDescent="0.25">
      <c r="B32" s="30">
        <v>41245</v>
      </c>
      <c r="C32" s="31">
        <v>0.47916666666666669</v>
      </c>
      <c r="D32" s="32" t="s">
        <v>1</v>
      </c>
      <c r="E32" s="32">
        <v>42</v>
      </c>
      <c r="F32" s="33" t="s">
        <v>5</v>
      </c>
      <c r="G32" s="33">
        <v>50</v>
      </c>
      <c r="H32" s="34" t="s">
        <v>3</v>
      </c>
      <c r="I32" s="34" t="s">
        <v>3</v>
      </c>
      <c r="J32" s="35"/>
      <c r="K32" s="36"/>
      <c r="L32" s="107" t="s">
        <v>5</v>
      </c>
      <c r="M32" s="107" t="s">
        <v>1</v>
      </c>
      <c r="N32" s="107"/>
      <c r="O32" s="29"/>
      <c r="P32" s="30">
        <v>40949</v>
      </c>
      <c r="Q32" s="31"/>
      <c r="R32" s="32" t="s">
        <v>1</v>
      </c>
      <c r="S32" s="32"/>
      <c r="T32" s="33" t="s">
        <v>2</v>
      </c>
      <c r="U32" s="33"/>
      <c r="V32" s="34" t="s">
        <v>5</v>
      </c>
      <c r="W32" s="35"/>
      <c r="X32" s="36"/>
    </row>
    <row r="33" spans="2:24" x14ac:dyDescent="0.25">
      <c r="B33" s="30">
        <v>41245</v>
      </c>
      <c r="C33" s="31">
        <v>0.5</v>
      </c>
      <c r="D33" s="32" t="s">
        <v>3</v>
      </c>
      <c r="E33" s="32">
        <v>70</v>
      </c>
      <c r="F33" s="33" t="s">
        <v>1</v>
      </c>
      <c r="G33" s="33">
        <v>49</v>
      </c>
      <c r="H33" s="34" t="s">
        <v>0</v>
      </c>
      <c r="I33" s="34" t="s">
        <v>0</v>
      </c>
      <c r="J33" s="35"/>
      <c r="K33" s="36"/>
      <c r="L33" s="107"/>
      <c r="M33" s="107"/>
      <c r="N33" s="107"/>
      <c r="O33" s="29"/>
      <c r="P33" s="30">
        <v>40949</v>
      </c>
      <c r="Q33" s="31"/>
      <c r="R33" s="32" t="s">
        <v>1</v>
      </c>
      <c r="S33" s="32"/>
      <c r="T33" s="33" t="s">
        <v>5</v>
      </c>
      <c r="U33" s="33"/>
      <c r="V33" s="34" t="s">
        <v>2</v>
      </c>
      <c r="W33" s="35"/>
      <c r="X33" s="36"/>
    </row>
    <row r="34" spans="2:24" x14ac:dyDescent="0.25">
      <c r="B34" s="37">
        <v>41245</v>
      </c>
      <c r="C34" s="38">
        <v>0.52083333333333337</v>
      </c>
      <c r="D34" s="39" t="s">
        <v>5</v>
      </c>
      <c r="E34" s="39">
        <v>42</v>
      </c>
      <c r="F34" s="40" t="s">
        <v>0</v>
      </c>
      <c r="G34" s="40">
        <v>66</v>
      </c>
      <c r="H34" s="41" t="s">
        <v>1</v>
      </c>
      <c r="I34" s="41" t="s">
        <v>1</v>
      </c>
      <c r="J34" s="42"/>
      <c r="K34" s="43"/>
      <c r="L34" s="107" t="s">
        <v>0</v>
      </c>
      <c r="M34" s="107" t="s">
        <v>5</v>
      </c>
      <c r="N34" s="107"/>
      <c r="O34" s="29"/>
      <c r="P34" s="37">
        <v>40949</v>
      </c>
      <c r="Q34" s="38"/>
      <c r="R34" s="39" t="s">
        <v>2</v>
      </c>
      <c r="S34" s="39"/>
      <c r="T34" s="40" t="s">
        <v>5</v>
      </c>
      <c r="U34" s="40"/>
      <c r="V34" s="41" t="s">
        <v>1</v>
      </c>
      <c r="W34" s="42"/>
      <c r="X34" s="43"/>
    </row>
    <row r="35" spans="2:24" ht="15.75" thickBot="1" x14ac:dyDescent="0.3">
      <c r="B35" s="44">
        <v>41245</v>
      </c>
      <c r="C35" s="45">
        <v>4.1666666666666664E-2</v>
      </c>
      <c r="D35" s="46" t="s">
        <v>1</v>
      </c>
      <c r="E35" s="46">
        <v>52</v>
      </c>
      <c r="F35" s="47" t="s">
        <v>0</v>
      </c>
      <c r="G35" s="47">
        <v>71</v>
      </c>
      <c r="H35" s="48" t="s">
        <v>5</v>
      </c>
      <c r="I35" s="48" t="s">
        <v>3</v>
      </c>
      <c r="J35" s="49"/>
      <c r="K35" s="50"/>
      <c r="L35" s="107" t="s">
        <v>0</v>
      </c>
      <c r="M35" s="107" t="s">
        <v>1</v>
      </c>
      <c r="N35" s="107"/>
      <c r="O35" s="29"/>
      <c r="P35" s="44">
        <v>40949</v>
      </c>
      <c r="Q35" s="45"/>
      <c r="R35" s="46" t="s">
        <v>2</v>
      </c>
      <c r="S35" s="55"/>
      <c r="T35" s="47" t="s">
        <v>1</v>
      </c>
      <c r="U35" s="47"/>
      <c r="V35" s="48" t="s">
        <v>5</v>
      </c>
      <c r="W35" s="49"/>
      <c r="X35" s="50"/>
    </row>
    <row r="36" spans="2:24" x14ac:dyDescent="0.25">
      <c r="B36" s="22">
        <v>41252</v>
      </c>
      <c r="C36" s="23">
        <v>0.52083333333333337</v>
      </c>
      <c r="D36" s="24" t="s">
        <v>4</v>
      </c>
      <c r="E36" s="24">
        <v>88</v>
      </c>
      <c r="F36" s="25" t="s">
        <v>2</v>
      </c>
      <c r="G36" s="25">
        <v>95</v>
      </c>
      <c r="H36" s="26" t="s">
        <v>5</v>
      </c>
      <c r="I36" s="26" t="s">
        <v>5</v>
      </c>
      <c r="J36" s="27" t="s">
        <v>2</v>
      </c>
      <c r="K36" s="28"/>
      <c r="L36" s="107"/>
      <c r="M36" s="107"/>
      <c r="N36" s="107"/>
      <c r="O36" s="29"/>
      <c r="P36" s="22">
        <v>40963</v>
      </c>
      <c r="Q36" s="23"/>
      <c r="R36" s="39" t="s">
        <v>1</v>
      </c>
      <c r="S36" s="105"/>
      <c r="T36" s="40" t="s">
        <v>0</v>
      </c>
      <c r="U36" s="40"/>
      <c r="V36" s="41" t="s">
        <v>5</v>
      </c>
      <c r="W36" s="27"/>
      <c r="X36" s="28"/>
    </row>
    <row r="37" spans="2:24" x14ac:dyDescent="0.25">
      <c r="B37" s="30">
        <v>41252</v>
      </c>
      <c r="C37" s="31">
        <v>0.54166666666666663</v>
      </c>
      <c r="D37" s="32" t="s">
        <v>3</v>
      </c>
      <c r="E37" s="32">
        <v>67</v>
      </c>
      <c r="F37" s="33" t="s">
        <v>5</v>
      </c>
      <c r="G37" s="33">
        <v>86</v>
      </c>
      <c r="H37" s="34" t="s">
        <v>2</v>
      </c>
      <c r="I37" s="34" t="s">
        <v>4</v>
      </c>
      <c r="J37" s="35"/>
      <c r="K37" s="36"/>
      <c r="L37" s="107"/>
      <c r="M37" s="107"/>
      <c r="N37" s="107"/>
      <c r="O37" s="29"/>
      <c r="P37" s="30">
        <v>40963</v>
      </c>
      <c r="Q37" s="31"/>
      <c r="R37" s="32" t="s">
        <v>1</v>
      </c>
      <c r="S37" s="105"/>
      <c r="T37" s="33" t="s">
        <v>5</v>
      </c>
      <c r="U37" s="33"/>
      <c r="V37" s="34" t="s">
        <v>0</v>
      </c>
      <c r="W37" s="35"/>
      <c r="X37" s="36"/>
    </row>
    <row r="38" spans="2:24" x14ac:dyDescent="0.25">
      <c r="B38" s="30">
        <v>41252</v>
      </c>
      <c r="C38" s="31">
        <v>0.5625</v>
      </c>
      <c r="D38" s="32" t="s">
        <v>5</v>
      </c>
      <c r="E38" s="32">
        <v>47</v>
      </c>
      <c r="F38" s="33" t="s">
        <v>4</v>
      </c>
      <c r="G38" s="33">
        <v>71</v>
      </c>
      <c r="H38" s="34" t="s">
        <v>3</v>
      </c>
      <c r="I38" s="34" t="s">
        <v>3</v>
      </c>
      <c r="J38" s="35"/>
      <c r="K38" s="36"/>
      <c r="L38" s="107"/>
      <c r="M38" s="107"/>
      <c r="N38" s="107"/>
      <c r="O38" s="29"/>
      <c r="P38" s="30">
        <v>40963</v>
      </c>
      <c r="Q38" s="31"/>
      <c r="R38" s="32" t="s">
        <v>0</v>
      </c>
      <c r="S38" s="105"/>
      <c r="T38" s="33" t="s">
        <v>5</v>
      </c>
      <c r="U38" s="33"/>
      <c r="V38" s="34" t="s">
        <v>1</v>
      </c>
      <c r="W38" s="35"/>
      <c r="X38" s="36"/>
    </row>
    <row r="39" spans="2:24" x14ac:dyDescent="0.25">
      <c r="B39" s="30">
        <v>41252</v>
      </c>
      <c r="C39" s="31">
        <v>0.58333333333333337</v>
      </c>
      <c r="D39" s="32" t="s">
        <v>2</v>
      </c>
      <c r="E39" s="32">
        <v>81</v>
      </c>
      <c r="F39" s="33" t="s">
        <v>3</v>
      </c>
      <c r="G39" s="33">
        <v>66</v>
      </c>
      <c r="H39" s="34" t="s">
        <v>5</v>
      </c>
      <c r="I39" s="34" t="s">
        <v>4</v>
      </c>
      <c r="J39" s="35"/>
      <c r="K39" s="36"/>
      <c r="L39" s="107"/>
      <c r="M39" s="107"/>
      <c r="N39" s="107"/>
      <c r="O39" s="29"/>
      <c r="P39" s="30">
        <v>40963</v>
      </c>
      <c r="Q39" s="31"/>
      <c r="R39" s="32" t="s">
        <v>0</v>
      </c>
      <c r="S39" s="105"/>
      <c r="T39" s="33" t="s">
        <v>1</v>
      </c>
      <c r="U39" s="33"/>
      <c r="V39" s="34" t="s">
        <v>5</v>
      </c>
      <c r="W39" s="35"/>
      <c r="X39" s="36"/>
    </row>
    <row r="40" spans="2:24" x14ac:dyDescent="0.25">
      <c r="B40" s="37">
        <v>41252</v>
      </c>
      <c r="C40" s="38">
        <v>0.60416666666666663</v>
      </c>
      <c r="D40" s="39" t="s">
        <v>4</v>
      </c>
      <c r="E40" s="39">
        <v>59</v>
      </c>
      <c r="F40" s="40" t="s">
        <v>3</v>
      </c>
      <c r="G40" s="40">
        <v>69</v>
      </c>
      <c r="H40" s="41" t="s">
        <v>2</v>
      </c>
      <c r="I40" s="41" t="s">
        <v>2</v>
      </c>
      <c r="J40" s="42"/>
      <c r="K40" s="43"/>
      <c r="L40" s="107"/>
      <c r="M40" s="107"/>
      <c r="N40" s="107"/>
      <c r="O40" s="29"/>
      <c r="P40" s="37">
        <v>40963</v>
      </c>
      <c r="Q40" s="38"/>
      <c r="R40" s="39" t="s">
        <v>5</v>
      </c>
      <c r="S40" s="105"/>
      <c r="T40" s="40" t="s">
        <v>1</v>
      </c>
      <c r="U40" s="40"/>
      <c r="V40" s="41" t="s">
        <v>0</v>
      </c>
      <c r="W40" s="42"/>
      <c r="X40" s="43"/>
    </row>
    <row r="41" spans="2:24" ht="15.75" thickBot="1" x14ac:dyDescent="0.3">
      <c r="B41" s="44">
        <v>41252</v>
      </c>
      <c r="C41" s="45">
        <v>0.625</v>
      </c>
      <c r="D41" s="46" t="s">
        <v>2</v>
      </c>
      <c r="E41" s="46">
        <v>58</v>
      </c>
      <c r="F41" s="47" t="s">
        <v>5</v>
      </c>
      <c r="G41" s="47">
        <v>47</v>
      </c>
      <c r="H41" s="48" t="s">
        <v>4</v>
      </c>
      <c r="I41" s="48" t="s">
        <v>3</v>
      </c>
      <c r="J41" s="49"/>
      <c r="K41" s="50" t="s">
        <v>2</v>
      </c>
      <c r="L41" s="107" t="s">
        <v>2</v>
      </c>
      <c r="M41" s="107" t="s">
        <v>5</v>
      </c>
      <c r="N41" s="107"/>
      <c r="O41" s="29"/>
      <c r="P41" s="44">
        <v>40963</v>
      </c>
      <c r="Q41" s="45"/>
      <c r="R41" s="46" t="s">
        <v>5</v>
      </c>
      <c r="S41" s="46"/>
      <c r="T41" s="47" t="s">
        <v>0</v>
      </c>
      <c r="U41" s="47"/>
      <c r="V41" s="48" t="s">
        <v>1</v>
      </c>
      <c r="W41" s="49"/>
      <c r="X41" s="50"/>
    </row>
    <row r="42" spans="2:24" x14ac:dyDescent="0.25">
      <c r="B42" s="22">
        <v>41259</v>
      </c>
      <c r="C42" s="23">
        <v>0.4375</v>
      </c>
      <c r="D42" s="24" t="s">
        <v>2</v>
      </c>
      <c r="E42" s="24">
        <v>81</v>
      </c>
      <c r="F42" s="25" t="s">
        <v>1</v>
      </c>
      <c r="G42" s="25">
        <v>71</v>
      </c>
      <c r="H42" s="26" t="s">
        <v>5</v>
      </c>
      <c r="I42" s="26" t="s">
        <v>5</v>
      </c>
      <c r="J42" s="27" t="s">
        <v>2</v>
      </c>
      <c r="K42" s="28"/>
      <c r="L42" s="107" t="s">
        <v>2</v>
      </c>
      <c r="M42" s="107" t="s">
        <v>1</v>
      </c>
      <c r="N42" s="107"/>
      <c r="O42" s="29"/>
      <c r="P42" s="22">
        <v>40971</v>
      </c>
      <c r="Q42" s="23"/>
      <c r="R42" s="24" t="s">
        <v>0</v>
      </c>
      <c r="S42" s="24"/>
      <c r="T42" s="25" t="s">
        <v>2</v>
      </c>
      <c r="U42" s="33"/>
      <c r="V42" s="34" t="s">
        <v>5</v>
      </c>
      <c r="W42" s="35"/>
      <c r="X42" s="36"/>
    </row>
    <row r="43" spans="2:24" x14ac:dyDescent="0.25">
      <c r="B43" s="30">
        <v>41259</v>
      </c>
      <c r="C43" s="31">
        <v>0.45833333333333331</v>
      </c>
      <c r="D43" s="32" t="s">
        <v>4</v>
      </c>
      <c r="E43" s="32" t="s">
        <v>83</v>
      </c>
      <c r="F43" s="33" t="s">
        <v>5</v>
      </c>
      <c r="G43" s="33"/>
      <c r="H43" s="34" t="s">
        <v>1</v>
      </c>
      <c r="I43" s="34" t="s">
        <v>1</v>
      </c>
      <c r="J43" s="35"/>
      <c r="K43" s="36"/>
      <c r="L43" s="107"/>
      <c r="M43" s="107"/>
      <c r="N43" s="107"/>
      <c r="O43" s="29"/>
      <c r="P43" s="30">
        <v>40971</v>
      </c>
      <c r="Q43" s="31"/>
      <c r="R43" s="32" t="s">
        <v>0</v>
      </c>
      <c r="S43" s="32"/>
      <c r="T43" s="33" t="s">
        <v>5</v>
      </c>
      <c r="U43" s="33"/>
      <c r="V43" s="34" t="s">
        <v>2</v>
      </c>
      <c r="W43" s="35"/>
      <c r="X43" s="36"/>
    </row>
    <row r="44" spans="2:24" x14ac:dyDescent="0.25">
      <c r="B44" s="30">
        <v>41259</v>
      </c>
      <c r="C44" s="31">
        <v>0.47916666666666669</v>
      </c>
      <c r="D44" s="32" t="s">
        <v>1</v>
      </c>
      <c r="E44" s="32"/>
      <c r="F44" s="33" t="s">
        <v>4</v>
      </c>
      <c r="G44" s="33" t="s">
        <v>83</v>
      </c>
      <c r="H44" s="34" t="s">
        <v>5</v>
      </c>
      <c r="I44" s="34" t="s">
        <v>2</v>
      </c>
      <c r="J44" s="35"/>
      <c r="K44" s="36"/>
      <c r="L44" s="107"/>
      <c r="M44" s="107"/>
      <c r="N44" s="107"/>
      <c r="O44" s="29"/>
      <c r="P44" s="30">
        <v>40971</v>
      </c>
      <c r="Q44" s="31"/>
      <c r="R44" s="32" t="s">
        <v>2</v>
      </c>
      <c r="S44" s="32"/>
      <c r="T44" s="33" t="s">
        <v>5</v>
      </c>
      <c r="U44" s="33"/>
      <c r="V44" s="34" t="s">
        <v>0</v>
      </c>
      <c r="W44" s="35"/>
      <c r="X44" s="36"/>
    </row>
    <row r="45" spans="2:24" x14ac:dyDescent="0.25">
      <c r="B45" s="30">
        <v>41259</v>
      </c>
      <c r="C45" s="31">
        <v>0.5</v>
      </c>
      <c r="D45" s="32" t="s">
        <v>2</v>
      </c>
      <c r="E45" s="32">
        <v>106</v>
      </c>
      <c r="F45" s="33" t="s">
        <v>5</v>
      </c>
      <c r="G45" s="33">
        <v>46</v>
      </c>
      <c r="H45" s="34" t="s">
        <v>4</v>
      </c>
      <c r="I45" s="34" t="s">
        <v>4</v>
      </c>
      <c r="J45" s="35"/>
      <c r="K45" s="36"/>
      <c r="L45" s="107" t="s">
        <v>2</v>
      </c>
      <c r="M45" s="107" t="s">
        <v>5</v>
      </c>
      <c r="N45" s="107"/>
      <c r="O45" s="29"/>
      <c r="P45" s="30">
        <v>40971</v>
      </c>
      <c r="Q45" s="31"/>
      <c r="R45" s="32" t="s">
        <v>2</v>
      </c>
      <c r="S45" s="32"/>
      <c r="T45" s="33" t="s">
        <v>0</v>
      </c>
      <c r="U45" s="33"/>
      <c r="V45" s="51" t="s">
        <v>5</v>
      </c>
      <c r="W45" s="35"/>
      <c r="X45" s="36"/>
    </row>
    <row r="46" spans="2:24" x14ac:dyDescent="0.25">
      <c r="B46" s="37">
        <v>41259</v>
      </c>
      <c r="C46" s="38">
        <v>0.52083333333333337</v>
      </c>
      <c r="D46" s="39" t="s">
        <v>5</v>
      </c>
      <c r="E46" s="39">
        <v>46</v>
      </c>
      <c r="F46" s="40" t="s">
        <v>1</v>
      </c>
      <c r="G46" s="40">
        <v>97</v>
      </c>
      <c r="H46" s="41" t="s">
        <v>2</v>
      </c>
      <c r="I46" s="41" t="s">
        <v>2</v>
      </c>
      <c r="J46" s="42"/>
      <c r="K46" s="43"/>
      <c r="L46" s="107" t="s">
        <v>1</v>
      </c>
      <c r="M46" s="107" t="s">
        <v>5</v>
      </c>
      <c r="N46" s="107"/>
      <c r="O46" s="29"/>
      <c r="P46" s="37">
        <v>40971</v>
      </c>
      <c r="Q46" s="52"/>
      <c r="R46" s="53" t="s">
        <v>5</v>
      </c>
      <c r="S46" s="53"/>
      <c r="T46" s="10" t="s">
        <v>0</v>
      </c>
      <c r="U46" s="10"/>
      <c r="V46" s="54" t="s">
        <v>2</v>
      </c>
      <c r="W46" s="42"/>
      <c r="X46" s="43"/>
    </row>
    <row r="47" spans="2:24" ht="15.75" thickBot="1" x14ac:dyDescent="0.3">
      <c r="B47" s="44">
        <v>41259</v>
      </c>
      <c r="C47" s="45">
        <v>4.1666666666666664E-2</v>
      </c>
      <c r="D47" s="46" t="s">
        <v>2</v>
      </c>
      <c r="E47" s="46"/>
      <c r="F47" s="47" t="s">
        <v>4</v>
      </c>
      <c r="G47" s="47"/>
      <c r="H47" s="48" t="s">
        <v>1</v>
      </c>
      <c r="I47" s="48" t="s">
        <v>1</v>
      </c>
      <c r="J47" s="49"/>
      <c r="K47" s="50" t="s">
        <v>1</v>
      </c>
      <c r="L47" s="107"/>
      <c r="M47" s="107"/>
      <c r="N47" s="107"/>
      <c r="O47" s="29"/>
      <c r="P47" s="44">
        <v>40971</v>
      </c>
      <c r="Q47" s="45"/>
      <c r="R47" s="46" t="s">
        <v>5</v>
      </c>
      <c r="S47" s="46"/>
      <c r="T47" s="47" t="s">
        <v>2</v>
      </c>
      <c r="U47" s="56"/>
      <c r="V47" s="57" t="s">
        <v>0</v>
      </c>
      <c r="W47" s="58"/>
      <c r="X47" s="59"/>
    </row>
    <row r="48" spans="2:24" x14ac:dyDescent="0.25">
      <c r="B48" s="60" t="s">
        <v>0</v>
      </c>
      <c r="C48" s="61" t="s">
        <v>33</v>
      </c>
      <c r="D48" s="62">
        <f>COUNTIF(D$12:D$47,"Brewers")</f>
        <v>5</v>
      </c>
      <c r="E48" s="62"/>
      <c r="F48" s="25">
        <f>COUNTIF(F$12:F$47,"Brewers")</f>
        <v>7</v>
      </c>
      <c r="G48" s="63"/>
      <c r="H48" s="26">
        <f>COUNTIF(H$12:H$47,"Brewers")</f>
        <v>7</v>
      </c>
      <c r="I48" s="64">
        <f>COUNTIF(I$12:I$47,"Brewers")</f>
        <v>6</v>
      </c>
      <c r="J48" s="65"/>
      <c r="K48" s="65"/>
      <c r="L48" s="65"/>
      <c r="M48" s="65"/>
      <c r="N48" s="65" t="s">
        <v>85</v>
      </c>
      <c r="O48" s="29"/>
      <c r="P48" s="22">
        <v>40978</v>
      </c>
      <c r="Q48" s="23"/>
      <c r="R48" s="24" t="s">
        <v>2</v>
      </c>
      <c r="S48" s="24"/>
      <c r="T48" s="25" t="s">
        <v>5</v>
      </c>
      <c r="U48" s="25"/>
      <c r="V48" s="26" t="s">
        <v>1</v>
      </c>
      <c r="W48" s="27"/>
      <c r="X48" s="28"/>
    </row>
    <row r="49" spans="2:24" x14ac:dyDescent="0.25">
      <c r="B49" s="66" t="s">
        <v>1</v>
      </c>
      <c r="C49" s="67" t="s">
        <v>33</v>
      </c>
      <c r="D49" s="68">
        <f>COUNTIF(D$12:D$47,"Tigers")</f>
        <v>6</v>
      </c>
      <c r="E49" s="68"/>
      <c r="F49" s="40">
        <f>COUNTIF(F$12:F$47,"Tigers")</f>
        <v>6</v>
      </c>
      <c r="G49" s="69"/>
      <c r="H49" s="41">
        <f>COUNTIF(H$12:H$47,"Tigers")</f>
        <v>7</v>
      </c>
      <c r="I49" s="70">
        <f>COUNTIF(I$12:I$47,"Tigers")</f>
        <v>6</v>
      </c>
      <c r="J49" s="65"/>
      <c r="K49" s="80" t="s">
        <v>0</v>
      </c>
      <c r="L49" s="65">
        <v>4</v>
      </c>
      <c r="M49" s="65">
        <v>3</v>
      </c>
      <c r="N49" s="65">
        <f>L49/(L49+M49)*100</f>
        <v>57.142857142857139</v>
      </c>
      <c r="O49" s="29"/>
      <c r="P49" s="30">
        <v>40978</v>
      </c>
      <c r="Q49" s="31"/>
      <c r="R49" s="32" t="s">
        <v>2</v>
      </c>
      <c r="S49" s="32"/>
      <c r="T49" s="33" t="s">
        <v>1</v>
      </c>
      <c r="U49" s="33"/>
      <c r="V49" s="34" t="s">
        <v>5</v>
      </c>
      <c r="W49" s="35"/>
      <c r="X49" s="36"/>
    </row>
    <row r="50" spans="2:24" x14ac:dyDescent="0.25">
      <c r="B50" s="66" t="s">
        <v>2</v>
      </c>
      <c r="C50" s="67" t="s">
        <v>33</v>
      </c>
      <c r="D50" s="68">
        <f>COUNTIF(D$12:D$47,"Redbacks")</f>
        <v>7</v>
      </c>
      <c r="E50" s="68"/>
      <c r="F50" s="40">
        <f>COUNTIF(F$12:F$47,"Redbacks")</f>
        <v>5</v>
      </c>
      <c r="G50" s="69"/>
      <c r="H50" s="41">
        <f>COUNTIF(H$12:H$47,"Redbacks")</f>
        <v>6</v>
      </c>
      <c r="I50" s="70">
        <f>COUNTIF(I$12:I$47,"Redbacks")</f>
        <v>6</v>
      </c>
      <c r="J50" s="65"/>
      <c r="K50" s="65" t="s">
        <v>1</v>
      </c>
      <c r="L50" s="65">
        <v>3</v>
      </c>
      <c r="M50" s="65">
        <v>5</v>
      </c>
      <c r="N50" s="65">
        <f>L50/(L50+M50)*100</f>
        <v>37.5</v>
      </c>
      <c r="O50" s="29"/>
      <c r="P50" s="30">
        <v>40978</v>
      </c>
      <c r="Q50" s="31"/>
      <c r="R50" s="32" t="s">
        <v>5</v>
      </c>
      <c r="S50" s="32"/>
      <c r="T50" s="33" t="s">
        <v>1</v>
      </c>
      <c r="U50" s="33"/>
      <c r="V50" s="34" t="s">
        <v>2</v>
      </c>
      <c r="W50" s="35"/>
      <c r="X50" s="36"/>
    </row>
    <row r="51" spans="2:24" x14ac:dyDescent="0.25">
      <c r="B51" s="66" t="s">
        <v>4</v>
      </c>
      <c r="C51" s="67" t="s">
        <v>33</v>
      </c>
      <c r="D51" s="68">
        <f>COUNTIF(D$12:D$47,"Rebels")</f>
        <v>6</v>
      </c>
      <c r="E51" s="68"/>
      <c r="F51" s="40">
        <f>COUNTIF(F$12:F$47,"Rebels")</f>
        <v>6</v>
      </c>
      <c r="G51" s="69"/>
      <c r="H51" s="41">
        <f>COUNTIF(H$12:H$47,"Rebels")</f>
        <v>4</v>
      </c>
      <c r="I51" s="70">
        <f>COUNTIF(I$12:I$47,"Rebels")</f>
        <v>8</v>
      </c>
      <c r="J51" s="72"/>
      <c r="K51" s="65" t="s">
        <v>2</v>
      </c>
      <c r="L51" s="65">
        <v>6</v>
      </c>
      <c r="M51" s="65">
        <v>1</v>
      </c>
      <c r="N51" s="65">
        <f>L51/(L51+M51)*100</f>
        <v>85.714285714285708</v>
      </c>
      <c r="O51" s="4"/>
      <c r="P51" s="30">
        <v>40978</v>
      </c>
      <c r="Q51" s="31"/>
      <c r="R51" s="32" t="s">
        <v>5</v>
      </c>
      <c r="S51" s="32"/>
      <c r="T51" s="33" t="s">
        <v>2</v>
      </c>
      <c r="U51" s="33"/>
      <c r="V51" s="34" t="s">
        <v>1</v>
      </c>
      <c r="W51" s="35"/>
      <c r="X51" s="36"/>
    </row>
    <row r="52" spans="2:24" x14ac:dyDescent="0.25">
      <c r="B52" s="66" t="s">
        <v>3</v>
      </c>
      <c r="C52" s="67" t="s">
        <v>33</v>
      </c>
      <c r="D52" s="68">
        <f>COUNTIF(D$12:D$47,"Cobras")</f>
        <v>6</v>
      </c>
      <c r="E52" s="68"/>
      <c r="F52" s="40">
        <f>COUNTIF(F$12:F$47,"Cobras")</f>
        <v>6</v>
      </c>
      <c r="G52" s="69"/>
      <c r="H52" s="41">
        <f>COUNTIF(H$12:H$47,"Cobras")</f>
        <v>5</v>
      </c>
      <c r="I52" s="70">
        <f>COUNTIF(I$12:I$47,"Cobras")</f>
        <v>5</v>
      </c>
      <c r="J52" s="72"/>
      <c r="K52" s="65" t="s">
        <v>5</v>
      </c>
      <c r="L52" s="65">
        <v>2</v>
      </c>
      <c r="M52" s="65">
        <v>6</v>
      </c>
      <c r="N52" s="65">
        <f>L52/(L52+M52)*100</f>
        <v>25</v>
      </c>
      <c r="O52" s="4"/>
      <c r="P52" s="37">
        <v>40978</v>
      </c>
      <c r="Q52" s="38"/>
      <c r="R52" s="39" t="s">
        <v>1</v>
      </c>
      <c r="S52" s="39"/>
      <c r="T52" s="40" t="s">
        <v>2</v>
      </c>
      <c r="U52" s="40"/>
      <c r="V52" s="41" t="s">
        <v>5</v>
      </c>
      <c r="W52" s="42"/>
      <c r="X52" s="43"/>
    </row>
    <row r="53" spans="2:24" ht="15.75" thickBot="1" x14ac:dyDescent="0.3">
      <c r="B53" s="73" t="s">
        <v>5</v>
      </c>
      <c r="C53" s="74" t="s">
        <v>33</v>
      </c>
      <c r="D53" s="75">
        <f>COUNTIF(D$12:D$47,"Pyros")</f>
        <v>6</v>
      </c>
      <c r="E53" s="75"/>
      <c r="F53" s="47">
        <f>COUNTIF(F$12:F$47,"Pyros")</f>
        <v>6</v>
      </c>
      <c r="G53" s="76"/>
      <c r="H53" s="48">
        <f>COUNTIF(H$12:H$47,"Pyros")</f>
        <v>7</v>
      </c>
      <c r="I53" s="77">
        <f>COUNTIF(I$12:I$47,"Pyros")</f>
        <v>5</v>
      </c>
      <c r="J53" s="65"/>
      <c r="K53" s="65"/>
      <c r="L53" s="65"/>
      <c r="M53" s="65"/>
      <c r="N53" s="65"/>
      <c r="O53" s="4"/>
      <c r="P53" s="44">
        <v>40978</v>
      </c>
      <c r="Q53" s="45"/>
      <c r="R53" s="46" t="s">
        <v>1</v>
      </c>
      <c r="S53" s="55"/>
      <c r="T53" s="47" t="s">
        <v>5</v>
      </c>
      <c r="U53" s="47"/>
      <c r="V53" s="48" t="s">
        <v>2</v>
      </c>
      <c r="W53" s="49"/>
      <c r="X53" s="50"/>
    </row>
    <row r="54" spans="2:24" x14ac:dyDescent="0.25">
      <c r="I54" s="80"/>
      <c r="J54" s="65"/>
      <c r="K54" s="65"/>
      <c r="P54" s="22">
        <v>40992</v>
      </c>
      <c r="Q54" s="23"/>
      <c r="R54" s="39" t="s">
        <v>5</v>
      </c>
      <c r="S54" s="105"/>
      <c r="T54" s="40" t="s">
        <v>1</v>
      </c>
      <c r="U54" s="40"/>
      <c r="V54" s="41" t="s">
        <v>0</v>
      </c>
      <c r="W54" s="27"/>
      <c r="X54" s="28"/>
    </row>
    <row r="55" spans="2:24" x14ac:dyDescent="0.25">
      <c r="I55" s="80"/>
      <c r="J55" s="72"/>
      <c r="K55" s="65"/>
      <c r="P55" s="30">
        <v>40992</v>
      </c>
      <c r="Q55" s="31"/>
      <c r="R55" s="32" t="s">
        <v>5</v>
      </c>
      <c r="S55" s="105"/>
      <c r="T55" s="33" t="s">
        <v>0</v>
      </c>
      <c r="U55" s="33"/>
      <c r="V55" s="34" t="s">
        <v>1</v>
      </c>
      <c r="W55" s="35"/>
      <c r="X55" s="36"/>
    </row>
    <row r="56" spans="2:24" x14ac:dyDescent="0.25">
      <c r="B56" s="4"/>
      <c r="I56" s="80"/>
      <c r="J56" s="65"/>
      <c r="K56" s="65"/>
      <c r="P56" s="30">
        <v>40992</v>
      </c>
      <c r="Q56" s="31"/>
      <c r="R56" s="32" t="s">
        <v>1</v>
      </c>
      <c r="S56" s="105"/>
      <c r="T56" s="33" t="s">
        <v>0</v>
      </c>
      <c r="U56" s="33"/>
      <c r="V56" s="34" t="s">
        <v>5</v>
      </c>
      <c r="W56" s="35"/>
      <c r="X56" s="36"/>
    </row>
    <row r="57" spans="2:24" x14ac:dyDescent="0.25">
      <c r="P57" s="30">
        <v>40992</v>
      </c>
      <c r="Q57" s="31"/>
      <c r="R57" s="32" t="s">
        <v>1</v>
      </c>
      <c r="S57" s="105"/>
      <c r="T57" s="33" t="s">
        <v>5</v>
      </c>
      <c r="U57" s="33"/>
      <c r="V57" s="34" t="s">
        <v>0</v>
      </c>
      <c r="W57" s="35"/>
      <c r="X57" s="36"/>
    </row>
    <row r="58" spans="2:24" x14ac:dyDescent="0.25">
      <c r="P58" s="37">
        <v>40992</v>
      </c>
      <c r="Q58" s="38"/>
      <c r="R58" s="39" t="s">
        <v>0</v>
      </c>
      <c r="S58" s="105"/>
      <c r="T58" s="40" t="s">
        <v>5</v>
      </c>
      <c r="U58" s="40"/>
      <c r="V58" s="41" t="s">
        <v>1</v>
      </c>
      <c r="W58" s="42"/>
      <c r="X58" s="43"/>
    </row>
    <row r="59" spans="2:24" ht="15.75" thickBot="1" x14ac:dyDescent="0.3">
      <c r="P59" s="44">
        <v>40992</v>
      </c>
      <c r="Q59" s="45"/>
      <c r="R59" s="46" t="s">
        <v>0</v>
      </c>
      <c r="S59" s="46"/>
      <c r="T59" s="47" t="s">
        <v>1</v>
      </c>
      <c r="U59" s="47"/>
      <c r="V59" s="48" t="s">
        <v>5</v>
      </c>
      <c r="W59" s="49"/>
      <c r="X59" s="50"/>
    </row>
    <row r="60" spans="2:24" x14ac:dyDescent="0.25">
      <c r="P60" s="60" t="s">
        <v>0</v>
      </c>
      <c r="Q60" s="61" t="s">
        <v>33</v>
      </c>
      <c r="R60" s="62">
        <f>COUNTIF(R$12:R$59,"Brewers")</f>
        <v>12</v>
      </c>
      <c r="S60" s="62"/>
      <c r="T60" s="25">
        <f>COUNTIF(T$12:T$59,"Brewers")</f>
        <v>12</v>
      </c>
      <c r="U60" s="63"/>
      <c r="V60" s="64">
        <f>COUNTIF(V$12:V$59,"Brewers")</f>
        <v>12</v>
      </c>
      <c r="W60" s="3"/>
      <c r="X60" s="3"/>
    </row>
    <row r="61" spans="2:24" x14ac:dyDescent="0.25">
      <c r="P61" s="66" t="s">
        <v>17</v>
      </c>
      <c r="Q61" s="67" t="s">
        <v>33</v>
      </c>
      <c r="R61" s="68">
        <f>COUNTIF(R$12:R$59,"Swingers")</f>
        <v>0</v>
      </c>
      <c r="S61" s="68"/>
      <c r="T61" s="40">
        <f>COUNTIF(T$12:T$59,"Swingers")</f>
        <v>0</v>
      </c>
      <c r="U61" s="69"/>
      <c r="V61" s="70">
        <f>COUNTIF(V$12:V$59,"Swingers")</f>
        <v>0</v>
      </c>
      <c r="W61" s="3"/>
      <c r="X61" s="3"/>
    </row>
    <row r="62" spans="2:24" x14ac:dyDescent="0.25">
      <c r="P62" s="66" t="s">
        <v>1</v>
      </c>
      <c r="Q62" s="67" t="s">
        <v>33</v>
      </c>
      <c r="R62" s="68">
        <f>COUNTIF(R$12:R$59,"Tigers")</f>
        <v>12</v>
      </c>
      <c r="S62" s="68"/>
      <c r="T62" s="40">
        <f>COUNTIF(T$12:T$59,"Tigers")</f>
        <v>12</v>
      </c>
      <c r="U62" s="69"/>
      <c r="V62" s="70">
        <f>COUNTIF(V$12:V$59,"Tigers")</f>
        <v>12</v>
      </c>
      <c r="W62" s="3"/>
      <c r="X62" s="3"/>
    </row>
    <row r="63" spans="2:24" x14ac:dyDescent="0.25">
      <c r="P63" s="71" t="s">
        <v>7</v>
      </c>
      <c r="Q63" s="67" t="s">
        <v>33</v>
      </c>
      <c r="R63" s="68">
        <f>COUNTIF(R$12:R$59,"Cougars")</f>
        <v>0</v>
      </c>
      <c r="S63" s="68"/>
      <c r="T63" s="40">
        <f>COUNTIF(T$12:T$59,"Cougars")</f>
        <v>0</v>
      </c>
      <c r="U63" s="69"/>
      <c r="V63" s="70">
        <f>COUNTIF(V$12:V$59,"Cougars")</f>
        <v>0</v>
      </c>
      <c r="W63" s="3"/>
      <c r="X63" s="3"/>
    </row>
    <row r="64" spans="2:24" x14ac:dyDescent="0.25">
      <c r="P64" s="71" t="s">
        <v>6</v>
      </c>
      <c r="Q64" s="67" t="s">
        <v>33</v>
      </c>
      <c r="R64" s="68">
        <f>COUNTIF(R$12:R$59,"Royals")</f>
        <v>0</v>
      </c>
      <c r="S64" s="68"/>
      <c r="T64" s="40">
        <f>COUNTIF(T$12:T$59,"Royals")</f>
        <v>0</v>
      </c>
      <c r="U64" s="69"/>
      <c r="V64" s="70">
        <f>COUNTIF(V$12:V$59,"Royals")</f>
        <v>0</v>
      </c>
      <c r="W64" s="3"/>
      <c r="X64" s="3"/>
    </row>
    <row r="65" spans="16:24" x14ac:dyDescent="0.25">
      <c r="P65" s="66" t="s">
        <v>21</v>
      </c>
      <c r="Q65" s="67" t="s">
        <v>33</v>
      </c>
      <c r="R65" s="68">
        <f>COUNTIF(R$12:R$59,"B Widows")</f>
        <v>0</v>
      </c>
      <c r="S65" s="68"/>
      <c r="T65" s="40">
        <f>COUNTIF(T$12:T$59,"B Widows")</f>
        <v>0</v>
      </c>
      <c r="U65" s="69"/>
      <c r="V65" s="70">
        <f>COUNTIF(V$12:V$59,"B Widows")</f>
        <v>0</v>
      </c>
      <c r="W65" s="3"/>
      <c r="X65" s="3"/>
    </row>
    <row r="66" spans="16:24" x14ac:dyDescent="0.25">
      <c r="P66" s="66" t="s">
        <v>3</v>
      </c>
      <c r="Q66" s="67" t="s">
        <v>33</v>
      </c>
      <c r="R66" s="68">
        <f>COUNTIF(R$12:R$59,"Cobras")</f>
        <v>0</v>
      </c>
      <c r="S66" s="68"/>
      <c r="T66" s="40">
        <f>COUNTIF(T$12:T$59,"Cobras")</f>
        <v>0</v>
      </c>
      <c r="U66" s="69"/>
      <c r="V66" s="70">
        <f>COUNTIF(V$12:V$59,"Cobras")</f>
        <v>0</v>
      </c>
      <c r="W66" s="3"/>
      <c r="X66" s="3"/>
    </row>
    <row r="67" spans="16:24" x14ac:dyDescent="0.25">
      <c r="P67" s="71" t="s">
        <v>24</v>
      </c>
      <c r="Q67" s="67" t="s">
        <v>33</v>
      </c>
      <c r="R67" s="68">
        <f>COUNTIF(R$12:R$59,"EM Dev")</f>
        <v>0</v>
      </c>
      <c r="S67" s="68"/>
      <c r="T67" s="40">
        <f>COUNTIF(T$12:T$59,"EM Dev")</f>
        <v>0</v>
      </c>
      <c r="U67" s="69"/>
      <c r="V67" s="70">
        <f>COUNTIF(V$12:V$59,"EM Dev")</f>
        <v>0</v>
      </c>
      <c r="W67" s="3"/>
      <c r="X67" s="3"/>
    </row>
    <row r="68" spans="16:24" ht="15.75" thickBot="1" x14ac:dyDescent="0.3">
      <c r="P68" s="73" t="s">
        <v>5</v>
      </c>
      <c r="Q68" s="74" t="s">
        <v>33</v>
      </c>
      <c r="R68" s="75">
        <f>COUNTIF(R$12:R$59,"Pyros")</f>
        <v>12</v>
      </c>
      <c r="S68" s="75"/>
      <c r="T68" s="47">
        <f>COUNTIF(T$12:T$59,"Pyros")</f>
        <v>12</v>
      </c>
      <c r="U68" s="76"/>
      <c r="V68" s="77">
        <f>COUNTIF(V$12:V$59,"Pyros")</f>
        <v>12</v>
      </c>
      <c r="W68" s="3"/>
      <c r="X68" s="3"/>
    </row>
    <row r="69" spans="16:24" x14ac:dyDescent="0.25">
      <c r="T69" s="1"/>
      <c r="U69" s="1"/>
      <c r="W69" s="3"/>
      <c r="X69" s="3"/>
    </row>
    <row r="70" spans="16:24" x14ac:dyDescent="0.25">
      <c r="T70" s="1"/>
      <c r="U70" s="1"/>
      <c r="W70" s="3"/>
      <c r="X70" s="3"/>
    </row>
    <row r="71" spans="16:24" x14ac:dyDescent="0.25">
      <c r="T71" s="1"/>
      <c r="U71" s="1"/>
      <c r="W71" s="3"/>
      <c r="X71" s="3"/>
    </row>
  </sheetData>
  <mergeCells count="5">
    <mergeCell ref="C1:P1"/>
    <mergeCell ref="N4:N9"/>
    <mergeCell ref="O4:O9"/>
    <mergeCell ref="Q4:Q9"/>
    <mergeCell ref="U4:U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71"/>
  <sheetViews>
    <sheetView topLeftCell="A17" workbookViewId="0">
      <selection activeCell="E41" sqref="E41"/>
    </sheetView>
  </sheetViews>
  <sheetFormatPr defaultRowHeight="15" x14ac:dyDescent="0.25"/>
  <cols>
    <col min="1" max="8" width="9.140625" style="1"/>
    <col min="9" max="9" width="9.140625" style="1" customWidth="1"/>
    <col min="10" max="11" width="9.140625" style="3" customWidth="1"/>
    <col min="12" max="12" width="9.140625" style="4"/>
    <col min="13" max="18" width="9.140625" style="1" customWidth="1"/>
    <col min="19" max="19" width="9.140625" style="1"/>
    <col min="20" max="21" width="9.140625" style="3"/>
    <col min="22" max="16384" width="9.140625" style="1"/>
  </cols>
  <sheetData>
    <row r="1" spans="2:28" ht="23.25" x14ac:dyDescent="0.35">
      <c r="C1" s="223" t="s">
        <v>62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S1" s="2" t="s">
        <v>9</v>
      </c>
    </row>
    <row r="2" spans="2:28" x14ac:dyDescent="0.25">
      <c r="S2" s="2" t="s">
        <v>10</v>
      </c>
    </row>
    <row r="3" spans="2:28" x14ac:dyDescent="0.25">
      <c r="B3" s="5"/>
      <c r="C3" s="6"/>
      <c r="D3" s="7" t="s">
        <v>11</v>
      </c>
      <c r="E3" s="8">
        <v>41210</v>
      </c>
      <c r="F3" s="82">
        <f>E3+7</f>
        <v>41217</v>
      </c>
      <c r="G3" s="8">
        <f t="shared" ref="G3:V3" si="0">F3+7</f>
        <v>41224</v>
      </c>
      <c r="H3" s="8">
        <f>G3+21</f>
        <v>41245</v>
      </c>
      <c r="I3" s="9">
        <f>H3+7</f>
        <v>41252</v>
      </c>
      <c r="J3" s="9">
        <f t="shared" si="0"/>
        <v>41259</v>
      </c>
      <c r="K3" s="8">
        <f>J3+21</f>
        <v>41280</v>
      </c>
      <c r="L3" s="8">
        <f>K3+7</f>
        <v>41287</v>
      </c>
      <c r="M3" s="8">
        <f t="shared" si="0"/>
        <v>41294</v>
      </c>
      <c r="N3" s="8">
        <f t="shared" si="0"/>
        <v>41301</v>
      </c>
      <c r="O3" s="8">
        <f t="shared" si="0"/>
        <v>41308</v>
      </c>
      <c r="P3" s="8">
        <f t="shared" si="0"/>
        <v>41315</v>
      </c>
      <c r="Q3" s="8">
        <f t="shared" si="0"/>
        <v>41322</v>
      </c>
      <c r="R3" s="8">
        <f t="shared" si="0"/>
        <v>41329</v>
      </c>
      <c r="S3" s="8">
        <f t="shared" si="0"/>
        <v>41336</v>
      </c>
      <c r="T3" s="8">
        <f t="shared" si="0"/>
        <v>41343</v>
      </c>
      <c r="U3" s="8">
        <f t="shared" si="0"/>
        <v>41350</v>
      </c>
      <c r="V3" s="8">
        <f t="shared" si="0"/>
        <v>41357</v>
      </c>
      <c r="W3" s="8" t="s">
        <v>12</v>
      </c>
      <c r="X3" s="10" t="s">
        <v>13</v>
      </c>
      <c r="Z3" s="11" t="s">
        <v>14</v>
      </c>
      <c r="AA3" s="3"/>
      <c r="AB3" s="3"/>
    </row>
    <row r="4" spans="2:28" x14ac:dyDescent="0.25">
      <c r="B4" s="78"/>
      <c r="C4" s="12">
        <v>1</v>
      </c>
      <c r="D4" s="7" t="s">
        <v>0</v>
      </c>
      <c r="E4" s="7" t="s">
        <v>41</v>
      </c>
      <c r="F4" s="84" t="s">
        <v>41</v>
      </c>
      <c r="G4" s="7" t="s">
        <v>41</v>
      </c>
      <c r="H4" s="7" t="s">
        <v>41</v>
      </c>
      <c r="I4" s="7" t="s">
        <v>15</v>
      </c>
      <c r="J4" s="7" t="s">
        <v>15</v>
      </c>
      <c r="K4" s="7" t="s">
        <v>41</v>
      </c>
      <c r="L4" s="7" t="s">
        <v>41</v>
      </c>
      <c r="M4" s="40" t="s">
        <v>41</v>
      </c>
      <c r="N4" s="234" t="s">
        <v>86</v>
      </c>
      <c r="O4" s="234" t="s">
        <v>61</v>
      </c>
      <c r="P4" s="7" t="s">
        <v>15</v>
      </c>
      <c r="Q4" s="234" t="s">
        <v>61</v>
      </c>
      <c r="R4" s="7" t="s">
        <v>41</v>
      </c>
      <c r="S4" s="7" t="s">
        <v>41</v>
      </c>
      <c r="T4" s="7" t="s">
        <v>15</v>
      </c>
      <c r="U4" s="234" t="s">
        <v>61</v>
      </c>
      <c r="V4" s="7" t="s">
        <v>41</v>
      </c>
      <c r="W4" s="7">
        <f t="shared" ref="W4:W9" si="1">COUNTIF(E4:V4,"Playing")+COUNTIF(E4:V4,"Tourney")</f>
        <v>10</v>
      </c>
      <c r="X4" s="13">
        <f t="shared" ref="X4:X9" si="2">W4*30</f>
        <v>300</v>
      </c>
      <c r="Z4" s="11" t="s">
        <v>16</v>
      </c>
      <c r="AA4" s="3"/>
      <c r="AB4" s="3"/>
    </row>
    <row r="5" spans="2:28" x14ac:dyDescent="0.25">
      <c r="B5" s="79"/>
      <c r="C5" s="12">
        <v>2</v>
      </c>
      <c r="D5" s="7" t="s">
        <v>1</v>
      </c>
      <c r="E5" s="7" t="s">
        <v>41</v>
      </c>
      <c r="F5" s="84" t="s">
        <v>41</v>
      </c>
      <c r="G5" s="7" t="s">
        <v>15</v>
      </c>
      <c r="H5" s="7" t="s">
        <v>41</v>
      </c>
      <c r="I5" s="7" t="s">
        <v>15</v>
      </c>
      <c r="J5" s="7" t="s">
        <v>41</v>
      </c>
      <c r="K5" s="7" t="s">
        <v>41</v>
      </c>
      <c r="L5" s="7" t="s">
        <v>41</v>
      </c>
      <c r="M5" s="7" t="s">
        <v>15</v>
      </c>
      <c r="N5" s="235"/>
      <c r="O5" s="235"/>
      <c r="P5" s="7" t="s">
        <v>41</v>
      </c>
      <c r="Q5" s="235"/>
      <c r="R5" s="40" t="s">
        <v>41</v>
      </c>
      <c r="S5" s="7" t="s">
        <v>15</v>
      </c>
      <c r="T5" s="7" t="s">
        <v>41</v>
      </c>
      <c r="U5" s="235"/>
      <c r="V5" s="7" t="s">
        <v>41</v>
      </c>
      <c r="W5" s="7">
        <f t="shared" si="1"/>
        <v>10</v>
      </c>
      <c r="X5" s="13">
        <f t="shared" si="2"/>
        <v>300</v>
      </c>
      <c r="Z5" s="11" t="s">
        <v>18</v>
      </c>
      <c r="AA5" s="3"/>
      <c r="AB5" s="3"/>
    </row>
    <row r="6" spans="2:28" x14ac:dyDescent="0.25">
      <c r="B6" s="79"/>
      <c r="C6" s="12">
        <v>3</v>
      </c>
      <c r="D6" s="7" t="s">
        <v>3</v>
      </c>
      <c r="E6" s="7" t="s">
        <v>41</v>
      </c>
      <c r="F6" s="84" t="s">
        <v>15</v>
      </c>
      <c r="G6" s="7" t="s">
        <v>41</v>
      </c>
      <c r="H6" s="7" t="s">
        <v>41</v>
      </c>
      <c r="I6" s="7" t="s">
        <v>41</v>
      </c>
      <c r="J6" s="7" t="s">
        <v>15</v>
      </c>
      <c r="K6" s="7" t="s">
        <v>15</v>
      </c>
      <c r="L6" s="7" t="s">
        <v>41</v>
      </c>
      <c r="M6" s="7" t="s">
        <v>15</v>
      </c>
      <c r="N6" s="235"/>
      <c r="O6" s="235"/>
      <c r="P6" s="7" t="s">
        <v>41</v>
      </c>
      <c r="Q6" s="235"/>
      <c r="R6" s="7" t="s">
        <v>41</v>
      </c>
      <c r="S6" s="7" t="s">
        <v>41</v>
      </c>
      <c r="T6" s="7" t="s">
        <v>41</v>
      </c>
      <c r="U6" s="235"/>
      <c r="V6" s="7" t="s">
        <v>15</v>
      </c>
      <c r="W6" s="7">
        <f t="shared" si="1"/>
        <v>9</v>
      </c>
      <c r="X6" s="13">
        <f t="shared" si="2"/>
        <v>270</v>
      </c>
      <c r="Z6" s="11" t="s">
        <v>19</v>
      </c>
      <c r="AA6" s="3"/>
      <c r="AB6" s="3"/>
    </row>
    <row r="7" spans="2:28" x14ac:dyDescent="0.25">
      <c r="B7" s="79"/>
      <c r="C7" s="12">
        <v>4</v>
      </c>
      <c r="D7" s="7" t="s">
        <v>4</v>
      </c>
      <c r="E7" s="7" t="s">
        <v>41</v>
      </c>
      <c r="F7" s="83" t="s">
        <v>15</v>
      </c>
      <c r="G7" s="7" t="s">
        <v>41</v>
      </c>
      <c r="H7" s="7" t="s">
        <v>15</v>
      </c>
      <c r="I7" s="7" t="s">
        <v>41</v>
      </c>
      <c r="J7" s="7" t="s">
        <v>41</v>
      </c>
      <c r="K7" s="7" t="s">
        <v>41</v>
      </c>
      <c r="L7" s="7" t="s">
        <v>15</v>
      </c>
      <c r="M7" s="7" t="s">
        <v>41</v>
      </c>
      <c r="N7" s="235"/>
      <c r="O7" s="235"/>
      <c r="P7" s="7" t="s">
        <v>15</v>
      </c>
      <c r="Q7" s="235"/>
      <c r="R7" s="7" t="s">
        <v>41</v>
      </c>
      <c r="S7" s="7" t="s">
        <v>15</v>
      </c>
      <c r="T7" s="7" t="s">
        <v>41</v>
      </c>
      <c r="U7" s="235"/>
      <c r="V7" s="7" t="s">
        <v>41</v>
      </c>
      <c r="W7" s="7">
        <f t="shared" si="1"/>
        <v>9</v>
      </c>
      <c r="X7" s="13">
        <f t="shared" si="2"/>
        <v>270</v>
      </c>
      <c r="Z7" s="11" t="s">
        <v>20</v>
      </c>
      <c r="AA7" s="3"/>
      <c r="AB7" s="3"/>
    </row>
    <row r="8" spans="2:28" x14ac:dyDescent="0.25">
      <c r="B8" s="79"/>
      <c r="C8" s="12">
        <v>5</v>
      </c>
      <c r="D8" s="7" t="s">
        <v>5</v>
      </c>
      <c r="E8" s="7" t="s">
        <v>15</v>
      </c>
      <c r="F8" s="83" t="s">
        <v>41</v>
      </c>
      <c r="G8" s="7" t="s">
        <v>15</v>
      </c>
      <c r="H8" s="7" t="s">
        <v>41</v>
      </c>
      <c r="I8" s="7" t="s">
        <v>41</v>
      </c>
      <c r="J8" s="7" t="s">
        <v>41</v>
      </c>
      <c r="K8" s="7" t="s">
        <v>15</v>
      </c>
      <c r="L8" s="7" t="s">
        <v>15</v>
      </c>
      <c r="M8" s="7" t="s">
        <v>41</v>
      </c>
      <c r="N8" s="235"/>
      <c r="O8" s="235"/>
      <c r="P8" s="7" t="s">
        <v>41</v>
      </c>
      <c r="Q8" s="235"/>
      <c r="R8" s="7" t="s">
        <v>41</v>
      </c>
      <c r="S8" s="7" t="s">
        <v>41</v>
      </c>
      <c r="T8" s="40" t="s">
        <v>41</v>
      </c>
      <c r="U8" s="235"/>
      <c r="V8" s="7" t="s">
        <v>41</v>
      </c>
      <c r="W8" s="7">
        <f t="shared" si="1"/>
        <v>10</v>
      </c>
      <c r="X8" s="13">
        <f t="shared" si="2"/>
        <v>300</v>
      </c>
      <c r="Z8" s="11" t="s">
        <v>22</v>
      </c>
      <c r="AA8" s="3"/>
      <c r="AB8" s="3"/>
    </row>
    <row r="9" spans="2:28" x14ac:dyDescent="0.25">
      <c r="B9" s="79"/>
      <c r="C9" s="12">
        <v>6</v>
      </c>
      <c r="D9" s="7" t="s">
        <v>2</v>
      </c>
      <c r="E9" s="7" t="s">
        <v>15</v>
      </c>
      <c r="F9" s="83" t="s">
        <v>41</v>
      </c>
      <c r="G9" s="7" t="s">
        <v>41</v>
      </c>
      <c r="H9" s="7" t="s">
        <v>15</v>
      </c>
      <c r="I9" s="7" t="s">
        <v>41</v>
      </c>
      <c r="J9" s="7" t="s">
        <v>41</v>
      </c>
      <c r="K9" s="7" t="s">
        <v>41</v>
      </c>
      <c r="L9" s="7" t="s">
        <v>41</v>
      </c>
      <c r="M9" s="40" t="s">
        <v>41</v>
      </c>
      <c r="N9" s="236"/>
      <c r="O9" s="236"/>
      <c r="P9" s="7" t="s">
        <v>41</v>
      </c>
      <c r="Q9" s="236"/>
      <c r="R9" s="7" t="s">
        <v>15</v>
      </c>
      <c r="S9" s="7" t="s">
        <v>41</v>
      </c>
      <c r="T9" s="7" t="s">
        <v>41</v>
      </c>
      <c r="U9" s="236"/>
      <c r="V9" s="7" t="s">
        <v>15</v>
      </c>
      <c r="W9" s="7">
        <f t="shared" si="1"/>
        <v>10</v>
      </c>
      <c r="X9" s="13">
        <f t="shared" si="2"/>
        <v>300</v>
      </c>
      <c r="Z9" s="11" t="s">
        <v>23</v>
      </c>
      <c r="AA9" s="3"/>
      <c r="AB9" s="3"/>
    </row>
    <row r="10" spans="2:28" ht="15.75" thickBot="1" x14ac:dyDescent="0.3"/>
    <row r="11" spans="2:28" s="14" customFormat="1" ht="30.75" thickBot="1" x14ac:dyDescent="0.3">
      <c r="C11" s="15" t="s">
        <v>25</v>
      </c>
      <c r="D11" s="16" t="s">
        <v>26</v>
      </c>
      <c r="E11" s="16" t="s">
        <v>27</v>
      </c>
      <c r="F11" s="17" t="s">
        <v>28</v>
      </c>
      <c r="G11" s="17" t="s">
        <v>29</v>
      </c>
      <c r="H11" s="18" t="s">
        <v>30</v>
      </c>
      <c r="I11" s="18" t="s">
        <v>34</v>
      </c>
      <c r="J11" s="19" t="s">
        <v>42</v>
      </c>
      <c r="K11" s="20" t="s">
        <v>43</v>
      </c>
      <c r="L11" s="106" t="s">
        <v>47</v>
      </c>
      <c r="M11" s="106" t="s">
        <v>84</v>
      </c>
      <c r="N11" s="106"/>
      <c r="O11" s="21"/>
      <c r="Q11" s="15" t="s">
        <v>25</v>
      </c>
      <c r="R11" s="16" t="s">
        <v>26</v>
      </c>
      <c r="S11" s="16"/>
      <c r="T11" s="17" t="s">
        <v>28</v>
      </c>
      <c r="U11" s="17"/>
      <c r="V11" s="18" t="s">
        <v>30</v>
      </c>
      <c r="W11" s="19" t="s">
        <v>31</v>
      </c>
      <c r="X11" s="20" t="s">
        <v>32</v>
      </c>
    </row>
    <row r="12" spans="2:28" x14ac:dyDescent="0.25">
      <c r="B12" s="22">
        <v>41210</v>
      </c>
      <c r="C12" s="23">
        <v>0.4375</v>
      </c>
      <c r="D12" s="24" t="s">
        <v>0</v>
      </c>
      <c r="E12" s="24">
        <v>66</v>
      </c>
      <c r="F12" s="25" t="s">
        <v>4</v>
      </c>
      <c r="G12" s="25">
        <v>40</v>
      </c>
      <c r="H12" s="26" t="s">
        <v>1</v>
      </c>
      <c r="I12" s="26" t="s">
        <v>1</v>
      </c>
      <c r="J12" s="27" t="s">
        <v>1</v>
      </c>
      <c r="K12" s="28"/>
      <c r="L12" s="107"/>
      <c r="M12" s="107"/>
      <c r="N12" s="107"/>
      <c r="O12" s="29"/>
      <c r="P12" s="22">
        <v>40914</v>
      </c>
      <c r="Q12" s="23"/>
      <c r="R12" s="24" t="s">
        <v>1</v>
      </c>
      <c r="S12" s="24"/>
      <c r="T12" s="25" t="s">
        <v>0</v>
      </c>
      <c r="U12" s="25"/>
      <c r="V12" s="26" t="s">
        <v>2</v>
      </c>
      <c r="W12" s="27"/>
      <c r="X12" s="28"/>
    </row>
    <row r="13" spans="2:28" x14ac:dyDescent="0.25">
      <c r="B13" s="30">
        <v>41210</v>
      </c>
      <c r="C13" s="31">
        <v>0.45833333333333331</v>
      </c>
      <c r="D13" s="32" t="s">
        <v>4</v>
      </c>
      <c r="E13" s="32">
        <v>71</v>
      </c>
      <c r="F13" s="33" t="s">
        <v>1</v>
      </c>
      <c r="G13" s="33">
        <v>47</v>
      </c>
      <c r="H13" s="34" t="s">
        <v>0</v>
      </c>
      <c r="I13" s="34" t="s">
        <v>0</v>
      </c>
      <c r="J13" s="35"/>
      <c r="K13" s="36"/>
      <c r="L13" s="107"/>
      <c r="M13" s="107"/>
      <c r="N13" s="107"/>
      <c r="O13" s="29"/>
      <c r="P13" s="30">
        <v>40914</v>
      </c>
      <c r="Q13" s="31"/>
      <c r="R13" s="32" t="s">
        <v>1</v>
      </c>
      <c r="S13" s="32"/>
      <c r="T13" s="33" t="s">
        <v>2</v>
      </c>
      <c r="U13" s="33"/>
      <c r="V13" s="34" t="s">
        <v>0</v>
      </c>
      <c r="W13" s="35"/>
      <c r="X13" s="36"/>
    </row>
    <row r="14" spans="2:28" x14ac:dyDescent="0.25">
      <c r="B14" s="30">
        <v>41210</v>
      </c>
      <c r="C14" s="31">
        <v>0.47916666666666669</v>
      </c>
      <c r="D14" s="32" t="s">
        <v>3</v>
      </c>
      <c r="E14" s="32">
        <v>59</v>
      </c>
      <c r="F14" s="33" t="s">
        <v>0</v>
      </c>
      <c r="G14" s="33">
        <v>86</v>
      </c>
      <c r="H14" s="34" t="s">
        <v>4</v>
      </c>
      <c r="I14" s="34" t="s">
        <v>4</v>
      </c>
      <c r="J14" s="35"/>
      <c r="K14" s="36"/>
      <c r="L14" s="107"/>
      <c r="M14" s="107"/>
      <c r="N14" s="107"/>
      <c r="O14" s="29"/>
      <c r="P14" s="30">
        <v>40914</v>
      </c>
      <c r="Q14" s="31"/>
      <c r="R14" s="32" t="s">
        <v>0</v>
      </c>
      <c r="S14" s="32"/>
      <c r="T14" s="33" t="s">
        <v>2</v>
      </c>
      <c r="U14" s="33"/>
      <c r="V14" s="34" t="s">
        <v>1</v>
      </c>
      <c r="W14" s="35"/>
      <c r="X14" s="36"/>
    </row>
    <row r="15" spans="2:28" x14ac:dyDescent="0.25">
      <c r="B15" s="30">
        <v>41210</v>
      </c>
      <c r="C15" s="31">
        <v>0.5</v>
      </c>
      <c r="D15" s="32" t="s">
        <v>3</v>
      </c>
      <c r="E15" s="32">
        <v>67</v>
      </c>
      <c r="F15" s="33" t="s">
        <v>4</v>
      </c>
      <c r="G15" s="33">
        <v>72</v>
      </c>
      <c r="H15" s="34" t="s">
        <v>1</v>
      </c>
      <c r="I15" s="34" t="s">
        <v>1</v>
      </c>
      <c r="J15" s="35"/>
      <c r="K15" s="36"/>
      <c r="L15" s="107" t="s">
        <v>0</v>
      </c>
      <c r="M15" s="107" t="s">
        <v>1</v>
      </c>
      <c r="N15" s="107"/>
      <c r="O15" s="29"/>
      <c r="P15" s="30">
        <v>40914</v>
      </c>
      <c r="Q15" s="31"/>
      <c r="R15" s="32" t="s">
        <v>0</v>
      </c>
      <c r="S15" s="32"/>
      <c r="T15" s="33" t="s">
        <v>1</v>
      </c>
      <c r="U15" s="33"/>
      <c r="V15" s="34" t="s">
        <v>2</v>
      </c>
      <c r="W15" s="35"/>
      <c r="X15" s="36"/>
    </row>
    <row r="16" spans="2:28" x14ac:dyDescent="0.25">
      <c r="B16" s="37">
        <v>41210</v>
      </c>
      <c r="C16" s="38">
        <v>0.52083333333333337</v>
      </c>
      <c r="D16" s="39" t="s">
        <v>1</v>
      </c>
      <c r="E16" s="39">
        <v>54</v>
      </c>
      <c r="F16" s="40" t="s">
        <v>0</v>
      </c>
      <c r="G16" s="40">
        <v>97</v>
      </c>
      <c r="H16" s="41" t="s">
        <v>3</v>
      </c>
      <c r="I16" s="41" t="s">
        <v>4</v>
      </c>
      <c r="J16" s="42"/>
      <c r="K16" s="43"/>
      <c r="L16" s="107"/>
      <c r="M16" s="107"/>
      <c r="N16" s="107"/>
      <c r="O16" s="29"/>
      <c r="P16" s="37">
        <v>40914</v>
      </c>
      <c r="Q16" s="38"/>
      <c r="R16" s="39" t="s">
        <v>2</v>
      </c>
      <c r="S16" s="39"/>
      <c r="T16" s="40" t="s">
        <v>1</v>
      </c>
      <c r="U16" s="40"/>
      <c r="V16" s="41" t="s">
        <v>0</v>
      </c>
      <c r="W16" s="42"/>
      <c r="X16" s="43"/>
    </row>
    <row r="17" spans="2:24" ht="15.75" thickBot="1" x14ac:dyDescent="0.3">
      <c r="B17" s="44">
        <v>41210</v>
      </c>
      <c r="C17" s="45">
        <v>4.1666666666666664E-2</v>
      </c>
      <c r="D17" s="46" t="s">
        <v>1</v>
      </c>
      <c r="E17" s="46">
        <v>55</v>
      </c>
      <c r="F17" s="47" t="s">
        <v>3</v>
      </c>
      <c r="G17" s="47">
        <v>87</v>
      </c>
      <c r="H17" s="48" t="s">
        <v>0</v>
      </c>
      <c r="I17" s="48" t="s">
        <v>0</v>
      </c>
      <c r="J17" s="49"/>
      <c r="K17" s="50" t="s">
        <v>1</v>
      </c>
      <c r="L17" s="107"/>
      <c r="M17" s="107"/>
      <c r="N17" s="107"/>
      <c r="O17" s="29"/>
      <c r="P17" s="44">
        <v>40914</v>
      </c>
      <c r="Q17" s="45"/>
      <c r="R17" s="46" t="s">
        <v>2</v>
      </c>
      <c r="S17" s="46"/>
      <c r="T17" s="47" t="s">
        <v>0</v>
      </c>
      <c r="U17" s="47"/>
      <c r="V17" s="48" t="s">
        <v>1</v>
      </c>
      <c r="W17" s="49"/>
      <c r="X17" s="50"/>
    </row>
    <row r="18" spans="2:24" x14ac:dyDescent="0.25">
      <c r="B18" s="22">
        <v>41217</v>
      </c>
      <c r="C18" s="23">
        <v>0.4375</v>
      </c>
      <c r="D18" s="24" t="s">
        <v>5</v>
      </c>
      <c r="E18" s="24">
        <v>37</v>
      </c>
      <c r="F18" s="25" t="s">
        <v>2</v>
      </c>
      <c r="G18" s="25">
        <v>67</v>
      </c>
      <c r="H18" s="26" t="s">
        <v>1</v>
      </c>
      <c r="I18" s="26" t="s">
        <v>1</v>
      </c>
      <c r="J18" s="27" t="s">
        <v>1</v>
      </c>
      <c r="K18" s="28"/>
      <c r="L18" s="107" t="s">
        <v>2</v>
      </c>
      <c r="M18" s="107" t="s">
        <v>5</v>
      </c>
      <c r="N18" s="107"/>
      <c r="O18" s="29"/>
      <c r="P18" s="22">
        <v>40921</v>
      </c>
      <c r="Q18" s="23"/>
      <c r="R18" s="24" t="s">
        <v>0</v>
      </c>
      <c r="S18" s="24"/>
      <c r="T18" s="25" t="s">
        <v>2</v>
      </c>
      <c r="U18" s="25"/>
      <c r="V18" s="26" t="s">
        <v>1</v>
      </c>
      <c r="W18" s="27"/>
      <c r="X18" s="28"/>
    </row>
    <row r="19" spans="2:24" x14ac:dyDescent="0.25">
      <c r="B19" s="30">
        <v>41217</v>
      </c>
      <c r="C19" s="31">
        <v>0.45833333333333331</v>
      </c>
      <c r="D19" s="32" t="s">
        <v>0</v>
      </c>
      <c r="E19" s="32">
        <v>51</v>
      </c>
      <c r="F19" s="33" t="s">
        <v>1</v>
      </c>
      <c r="G19" s="33">
        <v>73</v>
      </c>
      <c r="H19" s="34" t="s">
        <v>2</v>
      </c>
      <c r="I19" s="34" t="s">
        <v>2</v>
      </c>
      <c r="J19" s="35"/>
      <c r="K19" s="36"/>
      <c r="L19" s="107" t="s">
        <v>1</v>
      </c>
      <c r="M19" s="107" t="s">
        <v>0</v>
      </c>
      <c r="N19" s="107"/>
      <c r="O19" s="29"/>
      <c r="P19" s="30">
        <v>40921</v>
      </c>
      <c r="Q19" s="31"/>
      <c r="R19" s="32" t="s">
        <v>0</v>
      </c>
      <c r="S19" s="32"/>
      <c r="T19" s="33" t="s">
        <v>1</v>
      </c>
      <c r="U19" s="33"/>
      <c r="V19" s="34" t="s">
        <v>2</v>
      </c>
      <c r="W19" s="35"/>
      <c r="X19" s="36"/>
    </row>
    <row r="20" spans="2:24" x14ac:dyDescent="0.25">
      <c r="B20" s="30">
        <v>41217</v>
      </c>
      <c r="C20" s="31">
        <v>0.47916666666666669</v>
      </c>
      <c r="D20" s="32" t="s">
        <v>0</v>
      </c>
      <c r="E20" s="32">
        <v>91</v>
      </c>
      <c r="F20" s="33" t="s">
        <v>5</v>
      </c>
      <c r="G20" s="33">
        <v>29</v>
      </c>
      <c r="H20" s="34" t="s">
        <v>1</v>
      </c>
      <c r="I20" s="34" t="s">
        <v>2</v>
      </c>
      <c r="J20" s="35"/>
      <c r="K20" s="36"/>
      <c r="L20" s="107" t="s">
        <v>0</v>
      </c>
      <c r="M20" s="107" t="s">
        <v>5</v>
      </c>
      <c r="N20" s="107"/>
      <c r="O20" s="29"/>
      <c r="P20" s="30">
        <v>40921</v>
      </c>
      <c r="Q20" s="31"/>
      <c r="R20" s="32" t="s">
        <v>2</v>
      </c>
      <c r="S20" s="32"/>
      <c r="T20" s="33" t="s">
        <v>1</v>
      </c>
      <c r="U20" s="33"/>
      <c r="V20" s="34" t="s">
        <v>0</v>
      </c>
      <c r="W20" s="35"/>
      <c r="X20" s="36"/>
    </row>
    <row r="21" spans="2:24" x14ac:dyDescent="0.25">
      <c r="B21" s="30">
        <v>41217</v>
      </c>
      <c r="C21" s="31">
        <v>0.5</v>
      </c>
      <c r="D21" s="32" t="s">
        <v>1</v>
      </c>
      <c r="E21" s="32">
        <v>67</v>
      </c>
      <c r="F21" s="33" t="s">
        <v>2</v>
      </c>
      <c r="G21" s="33">
        <v>56</v>
      </c>
      <c r="H21" s="34" t="s">
        <v>0</v>
      </c>
      <c r="I21" s="34" t="s">
        <v>5</v>
      </c>
      <c r="J21" s="35"/>
      <c r="K21" s="36"/>
      <c r="L21" s="107" t="s">
        <v>1</v>
      </c>
      <c r="M21" s="107" t="s">
        <v>2</v>
      </c>
      <c r="N21" s="107"/>
      <c r="O21" s="29"/>
      <c r="P21" s="30">
        <v>40921</v>
      </c>
      <c r="Q21" s="31"/>
      <c r="R21" s="32" t="s">
        <v>2</v>
      </c>
      <c r="S21" s="32"/>
      <c r="T21" s="33" t="s">
        <v>0</v>
      </c>
      <c r="U21" s="33"/>
      <c r="V21" s="34" t="s">
        <v>1</v>
      </c>
      <c r="W21" s="35"/>
      <c r="X21" s="36"/>
    </row>
    <row r="22" spans="2:24" x14ac:dyDescent="0.25">
      <c r="B22" s="37">
        <v>41217</v>
      </c>
      <c r="C22" s="38">
        <v>0.52083333333333337</v>
      </c>
      <c r="D22" s="39" t="s">
        <v>2</v>
      </c>
      <c r="E22" s="39">
        <v>77</v>
      </c>
      <c r="F22" s="40" t="s">
        <v>0</v>
      </c>
      <c r="G22" s="40">
        <v>69</v>
      </c>
      <c r="H22" s="41" t="s">
        <v>5</v>
      </c>
      <c r="I22" s="41" t="s">
        <v>5</v>
      </c>
      <c r="J22" s="42"/>
      <c r="K22" s="43"/>
      <c r="L22" s="107" t="s">
        <v>2</v>
      </c>
      <c r="M22" s="107" t="s">
        <v>0</v>
      </c>
      <c r="N22" s="107"/>
      <c r="O22" s="29"/>
      <c r="P22" s="37">
        <v>40921</v>
      </c>
      <c r="Q22" s="38"/>
      <c r="R22" s="39" t="s">
        <v>1</v>
      </c>
      <c r="S22" s="39"/>
      <c r="T22" s="40" t="s">
        <v>0</v>
      </c>
      <c r="U22" s="40"/>
      <c r="V22" s="41" t="s">
        <v>2</v>
      </c>
      <c r="W22" s="42"/>
      <c r="X22" s="43"/>
    </row>
    <row r="23" spans="2:24" ht="15.75" thickBot="1" x14ac:dyDescent="0.3">
      <c r="B23" s="44">
        <v>41217</v>
      </c>
      <c r="C23" s="45">
        <v>4.1666666666666664E-2</v>
      </c>
      <c r="D23" s="46" t="s">
        <v>5</v>
      </c>
      <c r="E23" s="46">
        <v>39</v>
      </c>
      <c r="F23" s="47" t="s">
        <v>1</v>
      </c>
      <c r="G23" s="47">
        <v>33</v>
      </c>
      <c r="H23" s="48" t="s">
        <v>0</v>
      </c>
      <c r="I23" s="48" t="s">
        <v>0</v>
      </c>
      <c r="J23" s="49"/>
      <c r="K23" s="50" t="s">
        <v>2</v>
      </c>
      <c r="L23" s="107" t="s">
        <v>5</v>
      </c>
      <c r="M23" s="107" t="s">
        <v>1</v>
      </c>
      <c r="N23" s="107"/>
      <c r="O23" s="29"/>
      <c r="P23" s="44">
        <v>40921</v>
      </c>
      <c r="Q23" s="45"/>
      <c r="R23" s="46" t="s">
        <v>1</v>
      </c>
      <c r="S23" s="46"/>
      <c r="T23" s="47" t="s">
        <v>2</v>
      </c>
      <c r="U23" s="47"/>
      <c r="V23" s="48" t="s">
        <v>0</v>
      </c>
      <c r="W23" s="49"/>
      <c r="X23" s="50"/>
    </row>
    <row r="24" spans="2:24" x14ac:dyDescent="0.25">
      <c r="B24" s="22">
        <v>41224</v>
      </c>
      <c r="C24" s="23">
        <v>0.4375</v>
      </c>
      <c r="D24" s="32" t="s">
        <v>4</v>
      </c>
      <c r="E24" s="32">
        <v>79</v>
      </c>
      <c r="F24" s="33" t="s">
        <v>3</v>
      </c>
      <c r="G24" s="33">
        <v>102</v>
      </c>
      <c r="H24" s="34" t="s">
        <v>2</v>
      </c>
      <c r="I24" s="34" t="s">
        <v>2</v>
      </c>
      <c r="J24" s="35" t="s">
        <v>2</v>
      </c>
      <c r="K24" s="36"/>
      <c r="L24" s="107"/>
      <c r="M24" s="107"/>
      <c r="N24" s="107"/>
      <c r="O24" s="29"/>
      <c r="P24" s="22">
        <v>40928</v>
      </c>
      <c r="Q24" s="23"/>
      <c r="R24" s="24" t="s">
        <v>2</v>
      </c>
      <c r="S24" s="24"/>
      <c r="T24" s="25" t="s">
        <v>5</v>
      </c>
      <c r="U24" s="33"/>
      <c r="V24" s="34" t="s">
        <v>0</v>
      </c>
      <c r="W24" s="35"/>
      <c r="X24" s="36"/>
    </row>
    <row r="25" spans="2:24" x14ac:dyDescent="0.25">
      <c r="B25" s="30">
        <v>41224</v>
      </c>
      <c r="C25" s="31">
        <v>0.45833333333333331</v>
      </c>
      <c r="D25" s="32" t="s">
        <v>4</v>
      </c>
      <c r="E25" s="32">
        <v>47</v>
      </c>
      <c r="F25" s="33" t="s">
        <v>0</v>
      </c>
      <c r="G25" s="33">
        <v>88</v>
      </c>
      <c r="H25" s="34" t="s">
        <v>3</v>
      </c>
      <c r="I25" s="34" t="s">
        <v>3</v>
      </c>
      <c r="J25" s="35"/>
      <c r="K25" s="36"/>
      <c r="L25" s="107"/>
      <c r="M25" s="107"/>
      <c r="N25" s="107"/>
      <c r="O25" s="29"/>
      <c r="P25" s="30">
        <v>40928</v>
      </c>
      <c r="Q25" s="31"/>
      <c r="R25" s="32" t="s">
        <v>2</v>
      </c>
      <c r="S25" s="32"/>
      <c r="T25" s="33" t="s">
        <v>0</v>
      </c>
      <c r="U25" s="33"/>
      <c r="V25" s="34" t="s">
        <v>5</v>
      </c>
      <c r="W25" s="35"/>
      <c r="X25" s="36"/>
    </row>
    <row r="26" spans="2:24" x14ac:dyDescent="0.25">
      <c r="B26" s="30">
        <v>41224</v>
      </c>
      <c r="C26" s="31">
        <v>0.47916666666666669</v>
      </c>
      <c r="D26" s="32" t="s">
        <v>3</v>
      </c>
      <c r="E26" s="32">
        <v>61</v>
      </c>
      <c r="F26" s="33" t="s">
        <v>2</v>
      </c>
      <c r="G26" s="33">
        <v>47</v>
      </c>
      <c r="H26" s="34" t="s">
        <v>4</v>
      </c>
      <c r="I26" s="34" t="s">
        <v>4</v>
      </c>
      <c r="J26" s="35"/>
      <c r="K26" s="36"/>
      <c r="L26" s="107"/>
      <c r="M26" s="107"/>
      <c r="N26" s="107"/>
      <c r="O26" s="29"/>
      <c r="P26" s="30">
        <v>40928</v>
      </c>
      <c r="Q26" s="31"/>
      <c r="R26" s="32" t="s">
        <v>5</v>
      </c>
      <c r="S26" s="32"/>
      <c r="T26" s="33" t="s">
        <v>0</v>
      </c>
      <c r="U26" s="33"/>
      <c r="V26" s="34" t="s">
        <v>2</v>
      </c>
      <c r="W26" s="35"/>
      <c r="X26" s="36"/>
    </row>
    <row r="27" spans="2:24" x14ac:dyDescent="0.25">
      <c r="B27" s="30">
        <v>41224</v>
      </c>
      <c r="C27" s="31">
        <v>0.5</v>
      </c>
      <c r="D27" s="32" t="s">
        <v>2</v>
      </c>
      <c r="E27" s="32">
        <v>58</v>
      </c>
      <c r="F27" s="33" t="s">
        <v>4</v>
      </c>
      <c r="G27" s="33">
        <v>45</v>
      </c>
      <c r="H27" s="34" t="s">
        <v>0</v>
      </c>
      <c r="I27" s="34" t="s">
        <v>0</v>
      </c>
      <c r="J27" s="35"/>
      <c r="K27" s="36"/>
      <c r="L27" s="107"/>
      <c r="M27" s="107"/>
      <c r="N27" s="107"/>
      <c r="O27" s="29"/>
      <c r="P27" s="30">
        <v>40928</v>
      </c>
      <c r="Q27" s="31"/>
      <c r="R27" s="32" t="s">
        <v>5</v>
      </c>
      <c r="S27" s="32"/>
      <c r="T27" s="33" t="s">
        <v>2</v>
      </c>
      <c r="U27" s="33"/>
      <c r="V27" s="51" t="s">
        <v>0</v>
      </c>
      <c r="W27" s="35"/>
      <c r="X27" s="36"/>
    </row>
    <row r="28" spans="2:24" x14ac:dyDescent="0.25">
      <c r="B28" s="37">
        <v>41224</v>
      </c>
      <c r="C28" s="38">
        <v>0.52083333333333337</v>
      </c>
      <c r="D28" s="39" t="s">
        <v>0</v>
      </c>
      <c r="E28" s="39">
        <v>69</v>
      </c>
      <c r="F28" s="40" t="s">
        <v>3</v>
      </c>
      <c r="G28" s="40">
        <v>66</v>
      </c>
      <c r="H28" s="41" t="s">
        <v>2</v>
      </c>
      <c r="I28" s="41" t="s">
        <v>4</v>
      </c>
      <c r="J28" s="42"/>
      <c r="K28" s="43"/>
      <c r="L28" s="107"/>
      <c r="M28" s="107"/>
      <c r="N28" s="107"/>
      <c r="O28" s="29"/>
      <c r="P28" s="37">
        <v>40928</v>
      </c>
      <c r="Q28" s="52"/>
      <c r="R28" s="39" t="s">
        <v>0</v>
      </c>
      <c r="S28" s="53"/>
      <c r="T28" s="40" t="s">
        <v>2</v>
      </c>
      <c r="U28" s="10"/>
      <c r="V28" s="54" t="s">
        <v>5</v>
      </c>
      <c r="W28" s="42"/>
      <c r="X28" s="43"/>
    </row>
    <row r="29" spans="2:24" ht="15.75" thickBot="1" x14ac:dyDescent="0.3">
      <c r="B29" s="44">
        <v>41224</v>
      </c>
      <c r="C29" s="45">
        <v>4.1666666666666664E-2</v>
      </c>
      <c r="D29" s="55" t="s">
        <v>0</v>
      </c>
      <c r="E29" s="55">
        <v>60</v>
      </c>
      <c r="F29" s="56" t="s">
        <v>2</v>
      </c>
      <c r="G29" s="56">
        <v>74</v>
      </c>
      <c r="H29" s="57" t="s">
        <v>3</v>
      </c>
      <c r="I29" s="57" t="s">
        <v>4</v>
      </c>
      <c r="J29" s="58"/>
      <c r="K29" s="59" t="s">
        <v>3</v>
      </c>
      <c r="L29" s="107" t="s">
        <v>2</v>
      </c>
      <c r="M29" s="107" t="s">
        <v>0</v>
      </c>
      <c r="N29" s="107"/>
      <c r="O29" s="29"/>
      <c r="P29" s="44">
        <v>40928</v>
      </c>
      <c r="Q29" s="45"/>
      <c r="R29" s="46" t="s">
        <v>0</v>
      </c>
      <c r="S29" s="46"/>
      <c r="T29" s="47" t="s">
        <v>5</v>
      </c>
      <c r="U29" s="56"/>
      <c r="V29" s="57" t="s">
        <v>2</v>
      </c>
      <c r="W29" s="58"/>
      <c r="X29" s="59"/>
    </row>
    <row r="30" spans="2:24" x14ac:dyDescent="0.25">
      <c r="B30" s="22">
        <v>41245</v>
      </c>
      <c r="C30" s="23">
        <v>0.4375</v>
      </c>
      <c r="D30" s="24" t="s">
        <v>5</v>
      </c>
      <c r="E30" s="24">
        <v>62</v>
      </c>
      <c r="F30" s="25" t="s">
        <v>3</v>
      </c>
      <c r="G30" s="25">
        <v>86</v>
      </c>
      <c r="H30" s="26" t="s">
        <v>0</v>
      </c>
      <c r="I30" s="26" t="s">
        <v>0</v>
      </c>
      <c r="J30" s="27" t="s">
        <v>3</v>
      </c>
      <c r="K30" s="28"/>
      <c r="L30" s="107"/>
      <c r="M30" s="107"/>
      <c r="N30" s="107"/>
      <c r="O30" s="29"/>
      <c r="P30" s="22">
        <v>40949</v>
      </c>
      <c r="Q30" s="23"/>
      <c r="R30" s="24" t="s">
        <v>5</v>
      </c>
      <c r="S30" s="24"/>
      <c r="T30" s="25" t="s">
        <v>1</v>
      </c>
      <c r="U30" s="25"/>
      <c r="V30" s="26" t="s">
        <v>2</v>
      </c>
      <c r="W30" s="27"/>
      <c r="X30" s="28"/>
    </row>
    <row r="31" spans="2:24" x14ac:dyDescent="0.25">
      <c r="B31" s="30">
        <v>41245</v>
      </c>
      <c r="C31" s="31">
        <v>0.45833333333333331</v>
      </c>
      <c r="D31" s="32" t="s">
        <v>3</v>
      </c>
      <c r="E31" s="32">
        <v>87</v>
      </c>
      <c r="F31" s="33" t="s">
        <v>0</v>
      </c>
      <c r="G31" s="33">
        <v>78</v>
      </c>
      <c r="H31" s="34" t="s">
        <v>5</v>
      </c>
      <c r="I31" s="34" t="s">
        <v>5</v>
      </c>
      <c r="J31" s="35"/>
      <c r="K31" s="36"/>
      <c r="L31" s="107"/>
      <c r="M31" s="107"/>
      <c r="N31" s="107"/>
      <c r="O31" s="29"/>
      <c r="P31" s="30">
        <v>40949</v>
      </c>
      <c r="Q31" s="31"/>
      <c r="R31" s="32" t="s">
        <v>5</v>
      </c>
      <c r="S31" s="32"/>
      <c r="T31" s="33" t="s">
        <v>2</v>
      </c>
      <c r="U31" s="33"/>
      <c r="V31" s="34" t="s">
        <v>1</v>
      </c>
      <c r="W31" s="35"/>
      <c r="X31" s="36"/>
    </row>
    <row r="32" spans="2:24" x14ac:dyDescent="0.25">
      <c r="B32" s="30">
        <v>41245</v>
      </c>
      <c r="C32" s="31">
        <v>0.47916666666666669</v>
      </c>
      <c r="D32" s="32" t="s">
        <v>1</v>
      </c>
      <c r="E32" s="32">
        <v>42</v>
      </c>
      <c r="F32" s="33" t="s">
        <v>5</v>
      </c>
      <c r="G32" s="33">
        <v>50</v>
      </c>
      <c r="H32" s="34" t="s">
        <v>3</v>
      </c>
      <c r="I32" s="34" t="s">
        <v>3</v>
      </c>
      <c r="J32" s="35"/>
      <c r="K32" s="36"/>
      <c r="L32" s="107" t="s">
        <v>5</v>
      </c>
      <c r="M32" s="107" t="s">
        <v>1</v>
      </c>
      <c r="N32" s="107"/>
      <c r="O32" s="29"/>
      <c r="P32" s="30">
        <v>40949</v>
      </c>
      <c r="Q32" s="31"/>
      <c r="R32" s="32" t="s">
        <v>1</v>
      </c>
      <c r="S32" s="32"/>
      <c r="T32" s="33" t="s">
        <v>2</v>
      </c>
      <c r="U32" s="33"/>
      <c r="V32" s="34" t="s">
        <v>5</v>
      </c>
      <c r="W32" s="35"/>
      <c r="X32" s="36"/>
    </row>
    <row r="33" spans="2:24" x14ac:dyDescent="0.25">
      <c r="B33" s="30">
        <v>41245</v>
      </c>
      <c r="C33" s="31">
        <v>0.5</v>
      </c>
      <c r="D33" s="32" t="s">
        <v>3</v>
      </c>
      <c r="E33" s="32">
        <v>70</v>
      </c>
      <c r="F33" s="33" t="s">
        <v>1</v>
      </c>
      <c r="G33" s="33">
        <v>49</v>
      </c>
      <c r="H33" s="34" t="s">
        <v>0</v>
      </c>
      <c r="I33" s="34" t="s">
        <v>0</v>
      </c>
      <c r="J33" s="35"/>
      <c r="K33" s="36"/>
      <c r="L33" s="107"/>
      <c r="M33" s="107"/>
      <c r="N33" s="107"/>
      <c r="O33" s="29"/>
      <c r="P33" s="30">
        <v>40949</v>
      </c>
      <c r="Q33" s="31"/>
      <c r="R33" s="32" t="s">
        <v>1</v>
      </c>
      <c r="S33" s="32"/>
      <c r="T33" s="33" t="s">
        <v>5</v>
      </c>
      <c r="U33" s="33"/>
      <c r="V33" s="34" t="s">
        <v>2</v>
      </c>
      <c r="W33" s="35"/>
      <c r="X33" s="36"/>
    </row>
    <row r="34" spans="2:24" x14ac:dyDescent="0.25">
      <c r="B34" s="37">
        <v>41245</v>
      </c>
      <c r="C34" s="38">
        <v>0.52083333333333337</v>
      </c>
      <c r="D34" s="39" t="s">
        <v>5</v>
      </c>
      <c r="E34" s="39">
        <v>42</v>
      </c>
      <c r="F34" s="40" t="s">
        <v>0</v>
      </c>
      <c r="G34" s="40">
        <v>66</v>
      </c>
      <c r="H34" s="41" t="s">
        <v>1</v>
      </c>
      <c r="I34" s="41" t="s">
        <v>1</v>
      </c>
      <c r="J34" s="42"/>
      <c r="K34" s="43"/>
      <c r="L34" s="107" t="s">
        <v>0</v>
      </c>
      <c r="M34" s="107" t="s">
        <v>5</v>
      </c>
      <c r="N34" s="107"/>
      <c r="O34" s="29"/>
      <c r="P34" s="37">
        <v>40949</v>
      </c>
      <c r="Q34" s="38"/>
      <c r="R34" s="39" t="s">
        <v>2</v>
      </c>
      <c r="S34" s="39"/>
      <c r="T34" s="40" t="s">
        <v>5</v>
      </c>
      <c r="U34" s="40"/>
      <c r="V34" s="41" t="s">
        <v>1</v>
      </c>
      <c r="W34" s="42"/>
      <c r="X34" s="43"/>
    </row>
    <row r="35" spans="2:24" ht="15.75" thickBot="1" x14ac:dyDescent="0.3">
      <c r="B35" s="44">
        <v>41245</v>
      </c>
      <c r="C35" s="45">
        <v>4.1666666666666664E-2</v>
      </c>
      <c r="D35" s="46" t="s">
        <v>1</v>
      </c>
      <c r="E35" s="46">
        <v>52</v>
      </c>
      <c r="F35" s="47" t="s">
        <v>0</v>
      </c>
      <c r="G35" s="47">
        <v>71</v>
      </c>
      <c r="H35" s="48" t="s">
        <v>5</v>
      </c>
      <c r="I35" s="48" t="s">
        <v>3</v>
      </c>
      <c r="J35" s="49"/>
      <c r="K35" s="50"/>
      <c r="L35" s="107" t="s">
        <v>0</v>
      </c>
      <c r="M35" s="107" t="s">
        <v>1</v>
      </c>
      <c r="N35" s="107"/>
      <c r="O35" s="29"/>
      <c r="P35" s="44">
        <v>40949</v>
      </c>
      <c r="Q35" s="45"/>
      <c r="R35" s="46" t="s">
        <v>2</v>
      </c>
      <c r="S35" s="55"/>
      <c r="T35" s="47" t="s">
        <v>1</v>
      </c>
      <c r="U35" s="47"/>
      <c r="V35" s="48" t="s">
        <v>5</v>
      </c>
      <c r="W35" s="49"/>
      <c r="X35" s="50"/>
    </row>
    <row r="36" spans="2:24" x14ac:dyDescent="0.25">
      <c r="B36" s="22">
        <v>41252</v>
      </c>
      <c r="C36" s="23">
        <v>0.52083333333333337</v>
      </c>
      <c r="D36" s="24" t="s">
        <v>4</v>
      </c>
      <c r="E36" s="24">
        <v>88</v>
      </c>
      <c r="F36" s="25" t="s">
        <v>2</v>
      </c>
      <c r="G36" s="25">
        <v>95</v>
      </c>
      <c r="H36" s="26" t="s">
        <v>5</v>
      </c>
      <c r="I36" s="26" t="s">
        <v>5</v>
      </c>
      <c r="J36" s="27" t="s">
        <v>2</v>
      </c>
      <c r="K36" s="28"/>
      <c r="L36" s="107"/>
      <c r="M36" s="107"/>
      <c r="N36" s="107"/>
      <c r="O36" s="29"/>
      <c r="P36" s="22">
        <v>40963</v>
      </c>
      <c r="Q36" s="23"/>
      <c r="R36" s="39" t="s">
        <v>1</v>
      </c>
      <c r="S36" s="105"/>
      <c r="T36" s="40" t="s">
        <v>0</v>
      </c>
      <c r="U36" s="40"/>
      <c r="V36" s="41" t="s">
        <v>5</v>
      </c>
      <c r="W36" s="27"/>
      <c r="X36" s="28"/>
    </row>
    <row r="37" spans="2:24" x14ac:dyDescent="0.25">
      <c r="B37" s="30">
        <v>41252</v>
      </c>
      <c r="C37" s="31">
        <v>0.54166666666666663</v>
      </c>
      <c r="D37" s="32" t="s">
        <v>3</v>
      </c>
      <c r="E37" s="32">
        <v>67</v>
      </c>
      <c r="F37" s="33" t="s">
        <v>5</v>
      </c>
      <c r="G37" s="33">
        <v>86</v>
      </c>
      <c r="H37" s="34" t="s">
        <v>2</v>
      </c>
      <c r="I37" s="34" t="s">
        <v>4</v>
      </c>
      <c r="J37" s="35"/>
      <c r="K37" s="36"/>
      <c r="L37" s="107"/>
      <c r="M37" s="107"/>
      <c r="N37" s="107"/>
      <c r="O37" s="29"/>
      <c r="P37" s="30">
        <v>40963</v>
      </c>
      <c r="Q37" s="31"/>
      <c r="R37" s="32" t="s">
        <v>1</v>
      </c>
      <c r="S37" s="105"/>
      <c r="T37" s="33" t="s">
        <v>5</v>
      </c>
      <c r="U37" s="33"/>
      <c r="V37" s="34" t="s">
        <v>0</v>
      </c>
      <c r="W37" s="35"/>
      <c r="X37" s="36"/>
    </row>
    <row r="38" spans="2:24" x14ac:dyDescent="0.25">
      <c r="B38" s="30">
        <v>41252</v>
      </c>
      <c r="C38" s="31">
        <v>0.5625</v>
      </c>
      <c r="D38" s="32" t="s">
        <v>5</v>
      </c>
      <c r="E38" s="32">
        <v>47</v>
      </c>
      <c r="F38" s="33" t="s">
        <v>4</v>
      </c>
      <c r="G38" s="33">
        <v>71</v>
      </c>
      <c r="H38" s="34" t="s">
        <v>3</v>
      </c>
      <c r="I38" s="34" t="s">
        <v>3</v>
      </c>
      <c r="J38" s="35"/>
      <c r="K38" s="36"/>
      <c r="L38" s="107"/>
      <c r="M38" s="107"/>
      <c r="N38" s="107"/>
      <c r="O38" s="29"/>
      <c r="P38" s="30">
        <v>40963</v>
      </c>
      <c r="Q38" s="31"/>
      <c r="R38" s="32" t="s">
        <v>0</v>
      </c>
      <c r="S38" s="105"/>
      <c r="T38" s="33" t="s">
        <v>5</v>
      </c>
      <c r="U38" s="33"/>
      <c r="V38" s="34" t="s">
        <v>1</v>
      </c>
      <c r="W38" s="35"/>
      <c r="X38" s="36"/>
    </row>
    <row r="39" spans="2:24" x14ac:dyDescent="0.25">
      <c r="B39" s="30">
        <v>41252</v>
      </c>
      <c r="C39" s="31">
        <v>0.58333333333333337</v>
      </c>
      <c r="D39" s="32" t="s">
        <v>2</v>
      </c>
      <c r="E39" s="32">
        <v>81</v>
      </c>
      <c r="F39" s="33" t="s">
        <v>3</v>
      </c>
      <c r="G39" s="33">
        <v>66</v>
      </c>
      <c r="H39" s="34" t="s">
        <v>5</v>
      </c>
      <c r="I39" s="34" t="s">
        <v>4</v>
      </c>
      <c r="J39" s="35"/>
      <c r="K39" s="36"/>
      <c r="L39" s="107"/>
      <c r="M39" s="107"/>
      <c r="N39" s="107"/>
      <c r="O39" s="29"/>
      <c r="P39" s="30">
        <v>40963</v>
      </c>
      <c r="Q39" s="31"/>
      <c r="R39" s="32" t="s">
        <v>0</v>
      </c>
      <c r="S39" s="105"/>
      <c r="T39" s="33" t="s">
        <v>1</v>
      </c>
      <c r="U39" s="33"/>
      <c r="V39" s="34" t="s">
        <v>5</v>
      </c>
      <c r="W39" s="35"/>
      <c r="X39" s="36"/>
    </row>
    <row r="40" spans="2:24" x14ac:dyDescent="0.25">
      <c r="B40" s="37">
        <v>41252</v>
      </c>
      <c r="C40" s="38">
        <v>0.60416666666666663</v>
      </c>
      <c r="D40" s="39" t="s">
        <v>4</v>
      </c>
      <c r="E40" s="39">
        <v>59</v>
      </c>
      <c r="F40" s="40" t="s">
        <v>3</v>
      </c>
      <c r="G40" s="40">
        <v>69</v>
      </c>
      <c r="H40" s="41" t="s">
        <v>2</v>
      </c>
      <c r="I40" s="41" t="s">
        <v>2</v>
      </c>
      <c r="J40" s="42"/>
      <c r="K40" s="43"/>
      <c r="L40" s="107"/>
      <c r="M40" s="107"/>
      <c r="N40" s="107"/>
      <c r="O40" s="29"/>
      <c r="P40" s="37">
        <v>40963</v>
      </c>
      <c r="Q40" s="38"/>
      <c r="R40" s="39" t="s">
        <v>5</v>
      </c>
      <c r="S40" s="105"/>
      <c r="T40" s="40" t="s">
        <v>1</v>
      </c>
      <c r="U40" s="40"/>
      <c r="V40" s="41" t="s">
        <v>0</v>
      </c>
      <c r="W40" s="42"/>
      <c r="X40" s="43"/>
    </row>
    <row r="41" spans="2:24" ht="15.75" thickBot="1" x14ac:dyDescent="0.3">
      <c r="B41" s="44">
        <v>41252</v>
      </c>
      <c r="C41" s="45">
        <v>0.625</v>
      </c>
      <c r="D41" s="46" t="s">
        <v>2</v>
      </c>
      <c r="E41" s="46">
        <v>58</v>
      </c>
      <c r="F41" s="47" t="s">
        <v>5</v>
      </c>
      <c r="G41" s="47">
        <v>47</v>
      </c>
      <c r="H41" s="48" t="s">
        <v>4</v>
      </c>
      <c r="I41" s="48" t="s">
        <v>3</v>
      </c>
      <c r="J41" s="49"/>
      <c r="K41" s="50" t="s">
        <v>2</v>
      </c>
      <c r="L41" s="107" t="s">
        <v>2</v>
      </c>
      <c r="M41" s="107" t="s">
        <v>5</v>
      </c>
      <c r="N41" s="107"/>
      <c r="O41" s="29"/>
      <c r="P41" s="44">
        <v>40963</v>
      </c>
      <c r="Q41" s="45"/>
      <c r="R41" s="46" t="s">
        <v>5</v>
      </c>
      <c r="S41" s="46"/>
      <c r="T41" s="47" t="s">
        <v>0</v>
      </c>
      <c r="U41" s="47"/>
      <c r="V41" s="48" t="s">
        <v>1</v>
      </c>
      <c r="W41" s="49"/>
      <c r="X41" s="50"/>
    </row>
    <row r="42" spans="2:24" x14ac:dyDescent="0.25">
      <c r="B42" s="22">
        <v>41259</v>
      </c>
      <c r="C42" s="23">
        <v>0.4375</v>
      </c>
      <c r="D42" s="24" t="s">
        <v>2</v>
      </c>
      <c r="E42" s="24">
        <v>81</v>
      </c>
      <c r="F42" s="25" t="s">
        <v>1</v>
      </c>
      <c r="G42" s="25">
        <v>71</v>
      </c>
      <c r="H42" s="26" t="s">
        <v>5</v>
      </c>
      <c r="I42" s="26" t="s">
        <v>5</v>
      </c>
      <c r="J42" s="27" t="s">
        <v>2</v>
      </c>
      <c r="K42" s="28"/>
      <c r="L42" s="107" t="s">
        <v>2</v>
      </c>
      <c r="M42" s="107" t="s">
        <v>1</v>
      </c>
      <c r="N42" s="107"/>
      <c r="O42" s="29"/>
      <c r="P42" s="22">
        <v>40971</v>
      </c>
      <c r="Q42" s="23"/>
      <c r="R42" s="24" t="s">
        <v>0</v>
      </c>
      <c r="S42" s="24"/>
      <c r="T42" s="25" t="s">
        <v>2</v>
      </c>
      <c r="U42" s="33"/>
      <c r="V42" s="34" t="s">
        <v>5</v>
      </c>
      <c r="W42" s="35"/>
      <c r="X42" s="36"/>
    </row>
    <row r="43" spans="2:24" x14ac:dyDescent="0.25">
      <c r="B43" s="30">
        <v>41259</v>
      </c>
      <c r="C43" s="31">
        <v>0.45833333333333331</v>
      </c>
      <c r="D43" s="32" t="s">
        <v>4</v>
      </c>
      <c r="E43" s="32" t="s">
        <v>83</v>
      </c>
      <c r="F43" s="33" t="s">
        <v>5</v>
      </c>
      <c r="G43" s="33"/>
      <c r="H43" s="34" t="s">
        <v>1</v>
      </c>
      <c r="I43" s="34" t="s">
        <v>1</v>
      </c>
      <c r="J43" s="35"/>
      <c r="K43" s="36"/>
      <c r="L43" s="107"/>
      <c r="M43" s="107"/>
      <c r="N43" s="107"/>
      <c r="O43" s="29"/>
      <c r="P43" s="30">
        <v>40971</v>
      </c>
      <c r="Q43" s="31"/>
      <c r="R43" s="32" t="s">
        <v>0</v>
      </c>
      <c r="S43" s="32"/>
      <c r="T43" s="33" t="s">
        <v>5</v>
      </c>
      <c r="U43" s="33"/>
      <c r="V43" s="34" t="s">
        <v>2</v>
      </c>
      <c r="W43" s="35"/>
      <c r="X43" s="36"/>
    </row>
    <row r="44" spans="2:24" x14ac:dyDescent="0.25">
      <c r="B44" s="30">
        <v>41259</v>
      </c>
      <c r="C44" s="31">
        <v>0.47916666666666669</v>
      </c>
      <c r="D44" s="32" t="s">
        <v>1</v>
      </c>
      <c r="E44" s="32"/>
      <c r="F44" s="33" t="s">
        <v>4</v>
      </c>
      <c r="G44" s="33" t="s">
        <v>83</v>
      </c>
      <c r="H44" s="34" t="s">
        <v>5</v>
      </c>
      <c r="I44" s="34" t="s">
        <v>2</v>
      </c>
      <c r="J44" s="35"/>
      <c r="K44" s="36"/>
      <c r="L44" s="107"/>
      <c r="M44" s="107"/>
      <c r="N44" s="107"/>
      <c r="O44" s="29"/>
      <c r="P44" s="30">
        <v>40971</v>
      </c>
      <c r="Q44" s="31"/>
      <c r="R44" s="32" t="s">
        <v>2</v>
      </c>
      <c r="S44" s="32"/>
      <c r="T44" s="33" t="s">
        <v>5</v>
      </c>
      <c r="U44" s="33"/>
      <c r="V44" s="34" t="s">
        <v>0</v>
      </c>
      <c r="W44" s="35"/>
      <c r="X44" s="36"/>
    </row>
    <row r="45" spans="2:24" x14ac:dyDescent="0.25">
      <c r="B45" s="30">
        <v>41259</v>
      </c>
      <c r="C45" s="31">
        <v>0.5</v>
      </c>
      <c r="D45" s="32" t="s">
        <v>2</v>
      </c>
      <c r="E45" s="32">
        <v>106</v>
      </c>
      <c r="F45" s="33" t="s">
        <v>5</v>
      </c>
      <c r="G45" s="33">
        <v>46</v>
      </c>
      <c r="H45" s="34" t="s">
        <v>4</v>
      </c>
      <c r="I45" s="34" t="s">
        <v>4</v>
      </c>
      <c r="J45" s="35"/>
      <c r="K45" s="36"/>
      <c r="L45" s="107" t="s">
        <v>2</v>
      </c>
      <c r="M45" s="107" t="s">
        <v>5</v>
      </c>
      <c r="N45" s="107"/>
      <c r="O45" s="29"/>
      <c r="P45" s="30">
        <v>40971</v>
      </c>
      <c r="Q45" s="31"/>
      <c r="R45" s="32" t="s">
        <v>2</v>
      </c>
      <c r="S45" s="32"/>
      <c r="T45" s="33" t="s">
        <v>0</v>
      </c>
      <c r="U45" s="33"/>
      <c r="V45" s="51" t="s">
        <v>5</v>
      </c>
      <c r="W45" s="35"/>
      <c r="X45" s="36"/>
    </row>
    <row r="46" spans="2:24" x14ac:dyDescent="0.25">
      <c r="B46" s="37">
        <v>41259</v>
      </c>
      <c r="C46" s="38">
        <v>0.52083333333333337</v>
      </c>
      <c r="D46" s="39" t="s">
        <v>5</v>
      </c>
      <c r="E46" s="39">
        <v>46</v>
      </c>
      <c r="F46" s="40" t="s">
        <v>1</v>
      </c>
      <c r="G46" s="40">
        <v>97</v>
      </c>
      <c r="H46" s="41" t="s">
        <v>2</v>
      </c>
      <c r="I46" s="41" t="s">
        <v>2</v>
      </c>
      <c r="J46" s="42"/>
      <c r="K46" s="43"/>
      <c r="L46" s="107" t="s">
        <v>1</v>
      </c>
      <c r="M46" s="107" t="s">
        <v>5</v>
      </c>
      <c r="N46" s="107"/>
      <c r="O46" s="29"/>
      <c r="P46" s="37">
        <v>40971</v>
      </c>
      <c r="Q46" s="52"/>
      <c r="R46" s="53" t="s">
        <v>5</v>
      </c>
      <c r="S46" s="53"/>
      <c r="T46" s="10" t="s">
        <v>0</v>
      </c>
      <c r="U46" s="10"/>
      <c r="V46" s="54" t="s">
        <v>2</v>
      </c>
      <c r="W46" s="42"/>
      <c r="X46" s="43"/>
    </row>
    <row r="47" spans="2:24" ht="15.75" thickBot="1" x14ac:dyDescent="0.3">
      <c r="B47" s="44">
        <v>41259</v>
      </c>
      <c r="C47" s="45">
        <v>4.1666666666666664E-2</v>
      </c>
      <c r="D47" s="46" t="s">
        <v>2</v>
      </c>
      <c r="E47" s="46"/>
      <c r="F47" s="47" t="s">
        <v>4</v>
      </c>
      <c r="G47" s="47"/>
      <c r="H47" s="48" t="s">
        <v>1</v>
      </c>
      <c r="I47" s="48" t="s">
        <v>1</v>
      </c>
      <c r="J47" s="49"/>
      <c r="K47" s="50" t="s">
        <v>1</v>
      </c>
      <c r="L47" s="107"/>
      <c r="M47" s="107"/>
      <c r="N47" s="107"/>
      <c r="O47" s="29"/>
      <c r="P47" s="44">
        <v>40971</v>
      </c>
      <c r="Q47" s="45"/>
      <c r="R47" s="46" t="s">
        <v>5</v>
      </c>
      <c r="S47" s="46"/>
      <c r="T47" s="47" t="s">
        <v>2</v>
      </c>
      <c r="U47" s="56"/>
      <c r="V47" s="57" t="s">
        <v>0</v>
      </c>
      <c r="W47" s="58"/>
      <c r="X47" s="59"/>
    </row>
    <row r="48" spans="2:24" x14ac:dyDescent="0.25">
      <c r="B48" s="60" t="s">
        <v>0</v>
      </c>
      <c r="C48" s="61" t="s">
        <v>33</v>
      </c>
      <c r="D48" s="62">
        <f>COUNTIF(D$12:D$47,"Brewers")</f>
        <v>5</v>
      </c>
      <c r="E48" s="62"/>
      <c r="F48" s="25">
        <f>COUNTIF(F$12:F$47,"Brewers")</f>
        <v>7</v>
      </c>
      <c r="G48" s="63"/>
      <c r="H48" s="26">
        <f>COUNTIF(H$12:H$47,"Brewers")</f>
        <v>7</v>
      </c>
      <c r="I48" s="64">
        <f>COUNTIF(I$12:I$47,"Brewers")</f>
        <v>6</v>
      </c>
      <c r="J48" s="65"/>
      <c r="K48" s="65"/>
      <c r="L48" s="65"/>
      <c r="M48" s="65"/>
      <c r="N48" s="65" t="s">
        <v>85</v>
      </c>
      <c r="O48" s="29"/>
      <c r="P48" s="22">
        <v>40978</v>
      </c>
      <c r="Q48" s="23"/>
      <c r="R48" s="24" t="s">
        <v>2</v>
      </c>
      <c r="S48" s="24"/>
      <c r="T48" s="25" t="s">
        <v>5</v>
      </c>
      <c r="U48" s="25"/>
      <c r="V48" s="26" t="s">
        <v>1</v>
      </c>
      <c r="W48" s="27"/>
      <c r="X48" s="28"/>
    </row>
    <row r="49" spans="2:24" x14ac:dyDescent="0.25">
      <c r="B49" s="66" t="s">
        <v>1</v>
      </c>
      <c r="C49" s="67" t="s">
        <v>33</v>
      </c>
      <c r="D49" s="68">
        <f>COUNTIF(D$12:D$47,"Tigers")</f>
        <v>6</v>
      </c>
      <c r="E49" s="68"/>
      <c r="F49" s="40">
        <f>COUNTIF(F$12:F$47,"Tigers")</f>
        <v>6</v>
      </c>
      <c r="G49" s="69"/>
      <c r="H49" s="41">
        <f>COUNTIF(H$12:H$47,"Tigers")</f>
        <v>7</v>
      </c>
      <c r="I49" s="70">
        <f>COUNTIF(I$12:I$47,"Tigers")</f>
        <v>6</v>
      </c>
      <c r="J49" s="65"/>
      <c r="K49" s="80" t="s">
        <v>0</v>
      </c>
      <c r="L49" s="65">
        <v>4</v>
      </c>
      <c r="M49" s="65">
        <v>3</v>
      </c>
      <c r="N49" s="65">
        <f>L49/(L49+M49)*100</f>
        <v>57.142857142857139</v>
      </c>
      <c r="O49" s="29"/>
      <c r="P49" s="30">
        <v>40978</v>
      </c>
      <c r="Q49" s="31"/>
      <c r="R49" s="32" t="s">
        <v>2</v>
      </c>
      <c r="S49" s="32"/>
      <c r="T49" s="33" t="s">
        <v>1</v>
      </c>
      <c r="U49" s="33"/>
      <c r="V49" s="34" t="s">
        <v>5</v>
      </c>
      <c r="W49" s="35"/>
      <c r="X49" s="36"/>
    </row>
    <row r="50" spans="2:24" x14ac:dyDescent="0.25">
      <c r="B50" s="66" t="s">
        <v>2</v>
      </c>
      <c r="C50" s="67" t="s">
        <v>33</v>
      </c>
      <c r="D50" s="68">
        <f>COUNTIF(D$12:D$47,"Redbacks")</f>
        <v>7</v>
      </c>
      <c r="E50" s="68"/>
      <c r="F50" s="40">
        <f>COUNTIF(F$12:F$47,"Redbacks")</f>
        <v>5</v>
      </c>
      <c r="G50" s="69"/>
      <c r="H50" s="41">
        <f>COUNTIF(H$12:H$47,"Redbacks")</f>
        <v>6</v>
      </c>
      <c r="I50" s="70">
        <f>COUNTIF(I$12:I$47,"Redbacks")</f>
        <v>6</v>
      </c>
      <c r="J50" s="65"/>
      <c r="K50" s="65" t="s">
        <v>1</v>
      </c>
      <c r="L50" s="65">
        <v>3</v>
      </c>
      <c r="M50" s="65">
        <v>5</v>
      </c>
      <c r="N50" s="65">
        <f>L50/(L50+M50)*100</f>
        <v>37.5</v>
      </c>
      <c r="O50" s="29"/>
      <c r="P50" s="30">
        <v>40978</v>
      </c>
      <c r="Q50" s="31"/>
      <c r="R50" s="32" t="s">
        <v>5</v>
      </c>
      <c r="S50" s="32"/>
      <c r="T50" s="33" t="s">
        <v>1</v>
      </c>
      <c r="U50" s="33"/>
      <c r="V50" s="34" t="s">
        <v>2</v>
      </c>
      <c r="W50" s="35"/>
      <c r="X50" s="36"/>
    </row>
    <row r="51" spans="2:24" x14ac:dyDescent="0.25">
      <c r="B51" s="66" t="s">
        <v>4</v>
      </c>
      <c r="C51" s="67" t="s">
        <v>33</v>
      </c>
      <c r="D51" s="68">
        <f>COUNTIF(D$12:D$47,"Rebels")</f>
        <v>6</v>
      </c>
      <c r="E51" s="68"/>
      <c r="F51" s="40">
        <f>COUNTIF(F$12:F$47,"Rebels")</f>
        <v>6</v>
      </c>
      <c r="G51" s="69"/>
      <c r="H51" s="41">
        <f>COUNTIF(H$12:H$47,"Rebels")</f>
        <v>4</v>
      </c>
      <c r="I51" s="70">
        <f>COUNTIF(I$12:I$47,"Rebels")</f>
        <v>8</v>
      </c>
      <c r="J51" s="72"/>
      <c r="K51" s="65" t="s">
        <v>2</v>
      </c>
      <c r="L51" s="65">
        <v>6</v>
      </c>
      <c r="M51" s="65">
        <v>1</v>
      </c>
      <c r="N51" s="65">
        <f>L51/(L51+M51)*100</f>
        <v>85.714285714285708</v>
      </c>
      <c r="O51" s="4"/>
      <c r="P51" s="30">
        <v>40978</v>
      </c>
      <c r="Q51" s="31"/>
      <c r="R51" s="32" t="s">
        <v>5</v>
      </c>
      <c r="S51" s="32"/>
      <c r="T51" s="33" t="s">
        <v>2</v>
      </c>
      <c r="U51" s="33"/>
      <c r="V51" s="34" t="s">
        <v>1</v>
      </c>
      <c r="W51" s="35"/>
      <c r="X51" s="36"/>
    </row>
    <row r="52" spans="2:24" x14ac:dyDescent="0.25">
      <c r="B52" s="66" t="s">
        <v>3</v>
      </c>
      <c r="C52" s="67" t="s">
        <v>33</v>
      </c>
      <c r="D52" s="68">
        <f>COUNTIF(D$12:D$47,"Cobras")</f>
        <v>6</v>
      </c>
      <c r="E52" s="68"/>
      <c r="F52" s="40">
        <f>COUNTIF(F$12:F$47,"Cobras")</f>
        <v>6</v>
      </c>
      <c r="G52" s="69"/>
      <c r="H52" s="41">
        <f>COUNTIF(H$12:H$47,"Cobras")</f>
        <v>5</v>
      </c>
      <c r="I52" s="70">
        <f>COUNTIF(I$12:I$47,"Cobras")</f>
        <v>5</v>
      </c>
      <c r="J52" s="72"/>
      <c r="K52" s="65" t="s">
        <v>5</v>
      </c>
      <c r="L52" s="65">
        <v>2</v>
      </c>
      <c r="M52" s="65">
        <v>6</v>
      </c>
      <c r="N52" s="65">
        <f>L52/(L52+M52)*100</f>
        <v>25</v>
      </c>
      <c r="O52" s="4"/>
      <c r="P52" s="37">
        <v>40978</v>
      </c>
      <c r="Q52" s="38"/>
      <c r="R52" s="39" t="s">
        <v>1</v>
      </c>
      <c r="S52" s="39"/>
      <c r="T52" s="40" t="s">
        <v>2</v>
      </c>
      <c r="U52" s="40"/>
      <c r="V52" s="41" t="s">
        <v>5</v>
      </c>
      <c r="W52" s="42"/>
      <c r="X52" s="43"/>
    </row>
    <row r="53" spans="2:24" ht="15.75" thickBot="1" x14ac:dyDescent="0.3">
      <c r="B53" s="73" t="s">
        <v>5</v>
      </c>
      <c r="C53" s="74" t="s">
        <v>33</v>
      </c>
      <c r="D53" s="75">
        <f>COUNTIF(D$12:D$47,"Pyros")</f>
        <v>6</v>
      </c>
      <c r="E53" s="75"/>
      <c r="F53" s="47">
        <f>COUNTIF(F$12:F$47,"Pyros")</f>
        <v>6</v>
      </c>
      <c r="G53" s="76"/>
      <c r="H53" s="48">
        <f>COUNTIF(H$12:H$47,"Pyros")</f>
        <v>7</v>
      </c>
      <c r="I53" s="77">
        <f>COUNTIF(I$12:I$47,"Pyros")</f>
        <v>5</v>
      </c>
      <c r="J53" s="65"/>
      <c r="K53" s="65"/>
      <c r="L53" s="65"/>
      <c r="M53" s="65"/>
      <c r="N53" s="65"/>
      <c r="O53" s="4"/>
      <c r="P53" s="44">
        <v>40978</v>
      </c>
      <c r="Q53" s="45"/>
      <c r="R53" s="46" t="s">
        <v>1</v>
      </c>
      <c r="S53" s="55"/>
      <c r="T53" s="47" t="s">
        <v>5</v>
      </c>
      <c r="U53" s="47"/>
      <c r="V53" s="48" t="s">
        <v>2</v>
      </c>
      <c r="W53" s="49"/>
      <c r="X53" s="50"/>
    </row>
    <row r="54" spans="2:24" x14ac:dyDescent="0.25">
      <c r="I54" s="80"/>
      <c r="J54" s="65"/>
      <c r="K54" s="65"/>
      <c r="P54" s="22">
        <v>40992</v>
      </c>
      <c r="Q54" s="23"/>
      <c r="R54" s="39" t="s">
        <v>5</v>
      </c>
      <c r="S54" s="105"/>
      <c r="T54" s="40" t="s">
        <v>1</v>
      </c>
      <c r="U54" s="40"/>
      <c r="V54" s="41" t="s">
        <v>0</v>
      </c>
      <c r="W54" s="27"/>
      <c r="X54" s="28"/>
    </row>
    <row r="55" spans="2:24" x14ac:dyDescent="0.25">
      <c r="I55" s="80"/>
      <c r="J55" s="72"/>
      <c r="K55" s="65"/>
      <c r="P55" s="30">
        <v>40992</v>
      </c>
      <c r="Q55" s="31"/>
      <c r="R55" s="32" t="s">
        <v>5</v>
      </c>
      <c r="S55" s="105"/>
      <c r="T55" s="33" t="s">
        <v>0</v>
      </c>
      <c r="U55" s="33"/>
      <c r="V55" s="34" t="s">
        <v>1</v>
      </c>
      <c r="W55" s="35"/>
      <c r="X55" s="36"/>
    </row>
    <row r="56" spans="2:24" x14ac:dyDescent="0.25">
      <c r="B56" s="4"/>
      <c r="I56" s="80"/>
      <c r="J56" s="65"/>
      <c r="K56" s="65"/>
      <c r="P56" s="30">
        <v>40992</v>
      </c>
      <c r="Q56" s="31"/>
      <c r="R56" s="32" t="s">
        <v>1</v>
      </c>
      <c r="S56" s="105"/>
      <c r="T56" s="33" t="s">
        <v>0</v>
      </c>
      <c r="U56" s="33"/>
      <c r="V56" s="34" t="s">
        <v>5</v>
      </c>
      <c r="W56" s="35"/>
      <c r="X56" s="36"/>
    </row>
    <row r="57" spans="2:24" x14ac:dyDescent="0.25">
      <c r="P57" s="30">
        <v>40992</v>
      </c>
      <c r="Q57" s="31"/>
      <c r="R57" s="32" t="s">
        <v>1</v>
      </c>
      <c r="S57" s="105"/>
      <c r="T57" s="33" t="s">
        <v>5</v>
      </c>
      <c r="U57" s="33"/>
      <c r="V57" s="34" t="s">
        <v>0</v>
      </c>
      <c r="W57" s="35"/>
      <c r="X57" s="36"/>
    </row>
    <row r="58" spans="2:24" x14ac:dyDescent="0.25">
      <c r="P58" s="37">
        <v>40992</v>
      </c>
      <c r="Q58" s="38"/>
      <c r="R58" s="39" t="s">
        <v>0</v>
      </c>
      <c r="S58" s="105"/>
      <c r="T58" s="40" t="s">
        <v>5</v>
      </c>
      <c r="U58" s="40"/>
      <c r="V58" s="41" t="s">
        <v>1</v>
      </c>
      <c r="W58" s="42"/>
      <c r="X58" s="43"/>
    </row>
    <row r="59" spans="2:24" ht="15.75" thickBot="1" x14ac:dyDescent="0.3">
      <c r="P59" s="44">
        <v>40992</v>
      </c>
      <c r="Q59" s="45"/>
      <c r="R59" s="46" t="s">
        <v>0</v>
      </c>
      <c r="S59" s="46"/>
      <c r="T59" s="47" t="s">
        <v>1</v>
      </c>
      <c r="U59" s="47"/>
      <c r="V59" s="48" t="s">
        <v>5</v>
      </c>
      <c r="W59" s="49"/>
      <c r="X59" s="50"/>
    </row>
    <row r="60" spans="2:24" x14ac:dyDescent="0.25">
      <c r="P60" s="60" t="s">
        <v>0</v>
      </c>
      <c r="Q60" s="61" t="s">
        <v>33</v>
      </c>
      <c r="R60" s="62">
        <f>COUNTIF(R$12:R$59,"Brewers")</f>
        <v>12</v>
      </c>
      <c r="S60" s="62"/>
      <c r="T60" s="25">
        <f>COUNTIF(T$12:T$59,"Brewers")</f>
        <v>12</v>
      </c>
      <c r="U60" s="63"/>
      <c r="V60" s="64">
        <f>COUNTIF(V$12:V$59,"Brewers")</f>
        <v>12</v>
      </c>
      <c r="W60" s="3"/>
      <c r="X60" s="3"/>
    </row>
    <row r="61" spans="2:24" x14ac:dyDescent="0.25">
      <c r="P61" s="66" t="s">
        <v>17</v>
      </c>
      <c r="Q61" s="67" t="s">
        <v>33</v>
      </c>
      <c r="R61" s="68">
        <f>COUNTIF(R$12:R$59,"Swingers")</f>
        <v>0</v>
      </c>
      <c r="S61" s="68"/>
      <c r="T61" s="40">
        <f>COUNTIF(T$12:T$59,"Swingers")</f>
        <v>0</v>
      </c>
      <c r="U61" s="69"/>
      <c r="V61" s="70">
        <f>COUNTIF(V$12:V$59,"Swingers")</f>
        <v>0</v>
      </c>
      <c r="W61" s="3"/>
      <c r="X61" s="3"/>
    </row>
    <row r="62" spans="2:24" x14ac:dyDescent="0.25">
      <c r="P62" s="66" t="s">
        <v>1</v>
      </c>
      <c r="Q62" s="67" t="s">
        <v>33</v>
      </c>
      <c r="R62" s="68">
        <f>COUNTIF(R$12:R$59,"Tigers")</f>
        <v>12</v>
      </c>
      <c r="S62" s="68"/>
      <c r="T62" s="40">
        <f>COUNTIF(T$12:T$59,"Tigers")</f>
        <v>12</v>
      </c>
      <c r="U62" s="69"/>
      <c r="V62" s="70">
        <f>COUNTIF(V$12:V$59,"Tigers")</f>
        <v>12</v>
      </c>
      <c r="W62" s="3"/>
      <c r="X62" s="3"/>
    </row>
    <row r="63" spans="2:24" x14ac:dyDescent="0.25">
      <c r="P63" s="71" t="s">
        <v>7</v>
      </c>
      <c r="Q63" s="67" t="s">
        <v>33</v>
      </c>
      <c r="R63" s="68">
        <f>COUNTIF(R$12:R$59,"Cougars")</f>
        <v>0</v>
      </c>
      <c r="S63" s="68"/>
      <c r="T63" s="40">
        <f>COUNTIF(T$12:T$59,"Cougars")</f>
        <v>0</v>
      </c>
      <c r="U63" s="69"/>
      <c r="V63" s="70">
        <f>COUNTIF(V$12:V$59,"Cougars")</f>
        <v>0</v>
      </c>
      <c r="W63" s="3"/>
      <c r="X63" s="3"/>
    </row>
    <row r="64" spans="2:24" x14ac:dyDescent="0.25">
      <c r="P64" s="71" t="s">
        <v>6</v>
      </c>
      <c r="Q64" s="67" t="s">
        <v>33</v>
      </c>
      <c r="R64" s="68">
        <f>COUNTIF(R$12:R$59,"Royals")</f>
        <v>0</v>
      </c>
      <c r="S64" s="68"/>
      <c r="T64" s="40">
        <f>COUNTIF(T$12:T$59,"Royals")</f>
        <v>0</v>
      </c>
      <c r="U64" s="69"/>
      <c r="V64" s="70">
        <f>COUNTIF(V$12:V$59,"Royals")</f>
        <v>0</v>
      </c>
      <c r="W64" s="3"/>
      <c r="X64" s="3"/>
    </row>
    <row r="65" spans="16:24" x14ac:dyDescent="0.25">
      <c r="P65" s="66" t="s">
        <v>21</v>
      </c>
      <c r="Q65" s="67" t="s">
        <v>33</v>
      </c>
      <c r="R65" s="68">
        <f>COUNTIF(R$12:R$59,"B Widows")</f>
        <v>0</v>
      </c>
      <c r="S65" s="68"/>
      <c r="T65" s="40">
        <f>COUNTIF(T$12:T$59,"B Widows")</f>
        <v>0</v>
      </c>
      <c r="U65" s="69"/>
      <c r="V65" s="70">
        <f>COUNTIF(V$12:V$59,"B Widows")</f>
        <v>0</v>
      </c>
      <c r="W65" s="3"/>
      <c r="X65" s="3"/>
    </row>
    <row r="66" spans="16:24" x14ac:dyDescent="0.25">
      <c r="P66" s="66" t="s">
        <v>3</v>
      </c>
      <c r="Q66" s="67" t="s">
        <v>33</v>
      </c>
      <c r="R66" s="68">
        <f>COUNTIF(R$12:R$59,"Cobras")</f>
        <v>0</v>
      </c>
      <c r="S66" s="68"/>
      <c r="T66" s="40">
        <f>COUNTIF(T$12:T$59,"Cobras")</f>
        <v>0</v>
      </c>
      <c r="U66" s="69"/>
      <c r="V66" s="70">
        <f>COUNTIF(V$12:V$59,"Cobras")</f>
        <v>0</v>
      </c>
      <c r="W66" s="3"/>
      <c r="X66" s="3"/>
    </row>
    <row r="67" spans="16:24" x14ac:dyDescent="0.25">
      <c r="P67" s="71" t="s">
        <v>24</v>
      </c>
      <c r="Q67" s="67" t="s">
        <v>33</v>
      </c>
      <c r="R67" s="68">
        <f>COUNTIF(R$12:R$59,"EM Dev")</f>
        <v>0</v>
      </c>
      <c r="S67" s="68"/>
      <c r="T67" s="40">
        <f>COUNTIF(T$12:T$59,"EM Dev")</f>
        <v>0</v>
      </c>
      <c r="U67" s="69"/>
      <c r="V67" s="70">
        <f>COUNTIF(V$12:V$59,"EM Dev")</f>
        <v>0</v>
      </c>
      <c r="W67" s="3"/>
      <c r="X67" s="3"/>
    </row>
    <row r="68" spans="16:24" ht="15.75" thickBot="1" x14ac:dyDescent="0.3">
      <c r="P68" s="73" t="s">
        <v>5</v>
      </c>
      <c r="Q68" s="74" t="s">
        <v>33</v>
      </c>
      <c r="R68" s="75">
        <f>COUNTIF(R$12:R$59,"Pyros")</f>
        <v>12</v>
      </c>
      <c r="S68" s="75"/>
      <c r="T68" s="47">
        <f>COUNTIF(T$12:T$59,"Pyros")</f>
        <v>12</v>
      </c>
      <c r="U68" s="76"/>
      <c r="V68" s="77">
        <f>COUNTIF(V$12:V$59,"Pyros")</f>
        <v>12</v>
      </c>
      <c r="W68" s="3"/>
      <c r="X68" s="3"/>
    </row>
    <row r="69" spans="16:24" x14ac:dyDescent="0.25">
      <c r="T69" s="1"/>
      <c r="U69" s="1"/>
      <c r="W69" s="3"/>
      <c r="X69" s="3"/>
    </row>
    <row r="70" spans="16:24" x14ac:dyDescent="0.25">
      <c r="T70" s="1"/>
      <c r="U70" s="1"/>
      <c r="W70" s="3"/>
      <c r="X70" s="3"/>
    </row>
    <row r="71" spans="16:24" x14ac:dyDescent="0.25">
      <c r="T71" s="1"/>
      <c r="U71" s="1"/>
      <c r="W71" s="3"/>
      <c r="X71" s="3"/>
    </row>
  </sheetData>
  <mergeCells count="5">
    <mergeCell ref="C1:P1"/>
    <mergeCell ref="N4:N9"/>
    <mergeCell ref="O4:O9"/>
    <mergeCell ref="Q4:Q9"/>
    <mergeCell ref="U4:U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showGridLines="0" workbookViewId="0">
      <selection activeCell="Q8" sqref="Q8"/>
    </sheetView>
  </sheetViews>
  <sheetFormatPr defaultRowHeight="15" x14ac:dyDescent="0.25"/>
  <cols>
    <col min="1" max="1" width="9.140625" style="206"/>
    <col min="2" max="2" width="11" style="206" customWidth="1"/>
    <col min="3" max="3" width="2" style="14" bestFit="1" customWidth="1"/>
    <col min="4" max="4" width="11" style="206" customWidth="1"/>
    <col min="5" max="8" width="9.140625" style="206"/>
    <col min="9" max="11" width="0" style="206" hidden="1" customWidth="1"/>
    <col min="12" max="16384" width="9.140625" style="206"/>
  </cols>
  <sheetData>
    <row r="2" spans="2:22" ht="21" x14ac:dyDescent="0.25">
      <c r="C2" s="237" t="s">
        <v>147</v>
      </c>
      <c r="D2" s="237"/>
      <c r="E2" s="237"/>
      <c r="F2" s="237"/>
      <c r="G2" s="237"/>
      <c r="H2" s="237"/>
      <c r="I2" s="237"/>
      <c r="J2" s="237"/>
      <c r="K2" s="237"/>
      <c r="L2" s="237"/>
    </row>
    <row r="3" spans="2:22" x14ac:dyDescent="0.25">
      <c r="B3" s="207"/>
      <c r="C3" s="208"/>
      <c r="D3" s="207" t="s">
        <v>156</v>
      </c>
    </row>
    <row r="4" spans="2:22" x14ac:dyDescent="0.25">
      <c r="C4" s="14" t="s">
        <v>154</v>
      </c>
      <c r="D4" s="206" t="s">
        <v>11</v>
      </c>
      <c r="E4" s="209" t="s">
        <v>46</v>
      </c>
      <c r="F4" s="209" t="s">
        <v>110</v>
      </c>
      <c r="G4" s="209" t="s">
        <v>111</v>
      </c>
      <c r="H4" s="209" t="s">
        <v>112</v>
      </c>
      <c r="I4" s="209" t="s">
        <v>83</v>
      </c>
      <c r="J4" s="209" t="s">
        <v>76</v>
      </c>
      <c r="K4" s="209" t="s">
        <v>146</v>
      </c>
      <c r="L4" s="209" t="s">
        <v>53</v>
      </c>
      <c r="M4" s="209" t="s">
        <v>85</v>
      </c>
    </row>
    <row r="5" spans="2:22" x14ac:dyDescent="0.25">
      <c r="B5" s="210"/>
      <c r="C5" s="211">
        <v>1</v>
      </c>
      <c r="D5" s="210" t="s">
        <v>0</v>
      </c>
      <c r="E5" s="212">
        <f>SUM(Table1[[#This Row],[Won]:[Lost]])</f>
        <v>29</v>
      </c>
      <c r="F5" s="212">
        <f>COUNTIF('Winter 2017-18'!$K$23:$K$121,"Brewers")</f>
        <v>7</v>
      </c>
      <c r="G5" s="212">
        <f>COUNTIF('Winter 2017-18'!$M$23:$M$121,"Brewers")</f>
        <v>5</v>
      </c>
      <c r="H5" s="212">
        <f>COUNTIF('Winter 2017-18'!$L$23:$L$121,"Brewers")</f>
        <v>17</v>
      </c>
      <c r="I5" s="212">
        <f>'Winter 2017-18'!G87+'Winter 2017-18'!E89+'Winter 2017-18'!E91+'Winter 2017-18'!E92+'Winter 2017-18'!G94+'Winter 2017-18'!G97+'Winter 2017-18'!E98+'Winter 2017-18'!E100+'Winter 2017-18'!G102+'Winter 2017-18'!G117+'Winter 2017-18'!G118+'Winter 2017-18'!E120</f>
        <v>347</v>
      </c>
      <c r="J5" s="212">
        <f>'Winter 2017-18'!E87+'Winter 2017-18'!G89+'Winter 2017-18'!G91+'Winter 2017-18'!G92+'Winter 2017-18'!E94+'Winter 2017-18'!E97+'Winter 2017-18'!G98+'Winter 2017-18'!G100+'Winter 2017-18'!E102+'Winter 2017-18'!E117+'Winter 2017-18'!E118+'Winter 2017-18'!G120+21</f>
        <v>341</v>
      </c>
      <c r="K5" s="212">
        <f t="shared" ref="K5:K10" si="0">I5-J5</f>
        <v>6</v>
      </c>
      <c r="L5" s="212">
        <f t="shared" ref="L5:L10" si="1">(F5*3)+(G5*1)</f>
        <v>26</v>
      </c>
      <c r="M5" s="213">
        <f>Table1[[#This Row],[Won]]/Table1[[#This Row],[Played]]</f>
        <v>0.2413793103448276</v>
      </c>
    </row>
    <row r="6" spans="2:22" x14ac:dyDescent="0.25">
      <c r="B6" s="210"/>
      <c r="C6" s="211">
        <v>2</v>
      </c>
      <c r="D6" s="210" t="s">
        <v>5</v>
      </c>
      <c r="E6" s="212">
        <f>SUM(Table1[[#This Row],[Won]:[Lost]])</f>
        <v>26</v>
      </c>
      <c r="F6" s="212">
        <f>COUNTIF('Winter 2017-18'!$K$23:$K$121,"Pyros")</f>
        <v>9</v>
      </c>
      <c r="G6" s="212">
        <v>1</v>
      </c>
      <c r="H6" s="212">
        <f>COUNTIF('Winter 2017-18'!$L$23:$L$121,"Pyros")</f>
        <v>16</v>
      </c>
      <c r="I6" s="212">
        <f>'Winter 2017-18'!G80+'Winter 2017-18'!G83+'Winter 2017-18'!E84+'Winter 2017-18'!E86+'Winter 2017-18'!E88+'Winter 2017-18'!G91+'Winter 2017-18'!G93+'Winter 2017-18'!E94+'Winter 2017-18'!G96+'Winter 2017-18'!G105+'Winter 2017-18'!E107+'Winter 2017-18'!E108+'Winter 2017-18'!G110+'Winter 2017-18'!E113+'Winter 2017-18'!G115+'Winter 2017-18'!G110+'Winter 2017-18'!E113+'Winter 2017-18'!G115</f>
        <v>904</v>
      </c>
      <c r="J6" s="212">
        <f>'Winter 2017-18'!E80+'Winter 2017-18'!E83+'Winter 2017-18'!G84+'Winter 2017-18'!G86+'Winter 2017-18'!G88+'Winter 2017-18'!E91+'Winter 2017-18'!E93+'Winter 2017-18'!G94+'Winter 2017-18'!E96+'Winter 2017-18'!E105+'Winter 2017-18'!G107+'Winter 2017-18'!G108+'Winter 2017-18'!E110+'Winter 2017-18'!G113+'Winter 2017-18'!E115+'Winter 2017-18'!E110+'Winter 2017-18'!G113+'Winter 2017-18'!E115</f>
        <v>613</v>
      </c>
      <c r="K6" s="212">
        <f t="shared" si="0"/>
        <v>291</v>
      </c>
      <c r="L6" s="212">
        <f t="shared" si="1"/>
        <v>28</v>
      </c>
      <c r="M6" s="213">
        <f>Table1[[#This Row],[Won]]/Table1[[#This Row],[Played]]</f>
        <v>0.34615384615384615</v>
      </c>
    </row>
    <row r="7" spans="2:22" x14ac:dyDescent="0.25">
      <c r="B7" s="210"/>
      <c r="C7" s="211">
        <v>3</v>
      </c>
      <c r="D7" s="210" t="s">
        <v>114</v>
      </c>
      <c r="E7" s="212">
        <f>SUM(Table1[[#This Row],[Won]:[Lost]])</f>
        <v>30</v>
      </c>
      <c r="F7" s="212">
        <f>COUNTIF('Winter 2017-18'!$K$23:$K$121,"Pyros Jnrs")</f>
        <v>11</v>
      </c>
      <c r="G7" s="212">
        <f>COUNTIF('Winter 2017-18'!$M$23:$M$121,"Pyros Jnrs")</f>
        <v>7</v>
      </c>
      <c r="H7" s="212">
        <f>COUNTIF('Winter 2017-18'!$L$23:$L$121,"Pyros Jnrs")</f>
        <v>12</v>
      </c>
      <c r="I7" s="212">
        <f>'Winter 2017-18'!E81+'Winter 2017-18'!E82+'Winter 2017-18'!G84+'Winter 2017-18'!E93+'Winter 2017-18'!G95+'Winter 2017-18'!E97+'Winter 2017-18'!G99+'Winter 2017-18'!G100+'Winter 2017-18'!G103+'Winter 2017-18'!E110+'Winter 2017-18'!E112+'Winter 2017-18'!E114+'Winter 2017-18'!E116+'Winter 2017-18'!G119+'Winter 2017-18'!G120</f>
        <v>621</v>
      </c>
      <c r="J7" s="212">
        <f>'Winter 2017-18'!G81+'Winter 2017-18'!G82+'Winter 2017-18'!E84+'Winter 2017-18'!G93+'Winter 2017-18'!E95+'Winter 2017-18'!G97+'Winter 2017-18'!E99+'Winter 2017-18'!E100+'Winter 2017-18'!E103+'Winter 2017-18'!G110+'Winter 2017-18'!G112+'Winter 2017-18'!G114+'Winter 2017-18'!G116+'Winter 2017-18'!E119+'Winter 2017-18'!E120+'Winter 2017-18'!E99+'Winter 2017-18'!E100+'Winter 2017-18'!E103+'Winter 2017-18'!G110+'Winter 2017-18'!G112+'Winter 2017-18'!G114</f>
        <v>625</v>
      </c>
      <c r="K7" s="212">
        <f t="shared" si="0"/>
        <v>-4</v>
      </c>
      <c r="L7" s="212">
        <f t="shared" si="1"/>
        <v>40</v>
      </c>
      <c r="M7" s="213">
        <f>Table1[[#This Row],[Won]]/Table1[[#This Row],[Played]]</f>
        <v>0.36666666666666664</v>
      </c>
      <c r="N7" s="210"/>
      <c r="O7" s="212"/>
      <c r="P7" s="212"/>
      <c r="Q7" s="212"/>
      <c r="R7" s="212"/>
      <c r="S7" s="212"/>
      <c r="T7" s="212"/>
      <c r="U7" s="212"/>
      <c r="V7" s="212"/>
    </row>
    <row r="8" spans="2:22" x14ac:dyDescent="0.25">
      <c r="B8" s="210"/>
      <c r="C8" s="211">
        <v>4</v>
      </c>
      <c r="D8" s="210" t="s">
        <v>1</v>
      </c>
      <c r="E8" s="212">
        <f>SUM(Table1[[#This Row],[Won]:[Lost]])</f>
        <v>30</v>
      </c>
      <c r="F8" s="212">
        <f>COUNTIF('Winter 2017-18'!$K$23:$K$121,"Tigers")</f>
        <v>6</v>
      </c>
      <c r="G8" s="212">
        <f>COUNTIF('Winter 2017-18'!$M$23:$M$121,"Tigers")</f>
        <v>6</v>
      </c>
      <c r="H8" s="212">
        <f>COUNTIF('Winter 2017-18'!$L$23:$L$121,"Tigers")</f>
        <v>18</v>
      </c>
      <c r="I8" s="212">
        <f>'Winter 2017-18'!G81+'Winter 2017-18'!E83+'Winter 2017-18'!G85+'Winter 2017-18'!G86+'Winter 2017-18'!G89+'Winter 2017-18'!E90+'Winter 2017-18'!E99+'Winter 2017-18'!E101+'Winter 2017-18'!E102+'Winter 2017-18'!E105+'Winter 2017-18'!G106+'Winter 2017-18'!G109+'Winter 2017-18'!E111+'Winter 2017-18'!G113+'Winter 2017-18'!G114+'Winter 2017-18'!E99+'Winter 2017-18'!E101+'Winter 2017-18'!E102</f>
        <v>547</v>
      </c>
      <c r="J8" s="212">
        <f>'Winter 2017-18'!E81+'Winter 2017-18'!G83+'Winter 2017-18'!E85+'Winter 2017-18'!E86+'Winter 2017-18'!E89+'Winter 2017-18'!G90+'Winter 2017-18'!G99+'Winter 2017-18'!G101+'Winter 2017-18'!G102+'Winter 2017-18'!G105+'Winter 2017-18'!E106+'Winter 2017-18'!E109+'Winter 2017-18'!G111+'Winter 2017-18'!E113+'Winter 2017-18'!E114+'Winter 2017-18'!G99+'Winter 2017-18'!G101+'Winter 2017-18'!G102</f>
        <v>707</v>
      </c>
      <c r="K8" s="212">
        <f t="shared" si="0"/>
        <v>-160</v>
      </c>
      <c r="L8" s="212">
        <f t="shared" si="1"/>
        <v>24</v>
      </c>
      <c r="M8" s="213">
        <f>Table1[[#This Row],[Won]]/Table1[[#This Row],[Played]]</f>
        <v>0.2</v>
      </c>
      <c r="N8" s="210"/>
      <c r="O8" s="212"/>
      <c r="P8" s="212"/>
      <c r="Q8" s="212"/>
      <c r="R8" s="212"/>
      <c r="S8" s="212"/>
      <c r="T8" s="212"/>
      <c r="U8" s="212"/>
      <c r="V8" s="212"/>
    </row>
    <row r="9" spans="2:22" x14ac:dyDescent="0.25">
      <c r="B9" s="210"/>
      <c r="C9" s="211">
        <v>5</v>
      </c>
      <c r="D9" s="210" t="s">
        <v>109</v>
      </c>
      <c r="E9" s="212">
        <f>SUM(Table1[[#This Row],[Won]:[Lost]])</f>
        <v>30</v>
      </c>
      <c r="F9" s="212">
        <f>COUNTIF('Winter 2017-18'!$K$23:$K$121,"Cubs")</f>
        <v>8</v>
      </c>
      <c r="G9" s="212">
        <f>COUNTIF('Winter 2017-18'!$M$23:$M$121,"Cubs")</f>
        <v>12</v>
      </c>
      <c r="H9" s="212">
        <f>COUNTIF('Winter 2017-18'!$L$23:$L$121,"Cubs")</f>
        <v>10</v>
      </c>
      <c r="I9" s="212">
        <f>'Winter 2017-18'!E80+'Winter 2017-18'!G82+'Winter 2017-18'!E85+'Winter 2017-18'!G98+'Winter 2017-18'!G101+'Winter 2017-18'!E103+'Winter 2017-18'!E104+'Winter 2017-18'!G107+'Winter 2017-18'!E109+'Winter 2017-18'!G116+'Winter 2017-18'!E118+'Winter 2017-18'!G121+'Winter 2017-18'!G98+'Winter 2017-18'!G101+'Winter 2017-18'!E103</f>
        <v>588</v>
      </c>
      <c r="J9" s="212">
        <f>'Winter 2017-18'!G80+'Winter 2017-18'!E82+'Winter 2017-18'!G85+'Winter 2017-18'!E98+'Winter 2017-18'!E101+'Winter 2017-18'!G103+'Winter 2017-18'!G104+'Winter 2017-18'!E107+'Winter 2017-18'!G109+'Winter 2017-18'!E116+'Winter 2017-18'!G118+'Winter 2017-18'!E121+'Winter 2017-18'!E98+'Winter 2017-18'!E101+'Winter 2017-18'!G103</f>
        <v>468</v>
      </c>
      <c r="K9" s="212">
        <f t="shared" si="0"/>
        <v>120</v>
      </c>
      <c r="L9" s="212">
        <f t="shared" si="1"/>
        <v>36</v>
      </c>
      <c r="M9" s="213">
        <f>Table1[[#This Row],[Won]]/Table1[[#This Row],[Played]]</f>
        <v>0.26666666666666666</v>
      </c>
    </row>
    <row r="10" spans="2:22" x14ac:dyDescent="0.25">
      <c r="B10" s="210"/>
      <c r="C10" s="211">
        <v>6</v>
      </c>
      <c r="D10" s="210" t="s">
        <v>108</v>
      </c>
      <c r="E10" s="212">
        <f>SUM(Table1[[#This Row],[Won]:[Lost]])</f>
        <v>30</v>
      </c>
      <c r="F10" s="212">
        <f>COUNTIF('Winter 2017-18'!$K$23:$K$121,"L'boro")</f>
        <v>1</v>
      </c>
      <c r="G10" s="212">
        <f>COUNTIF('Winter 2017-18'!$M$23:$M$121,"L'boro")</f>
        <v>13</v>
      </c>
      <c r="H10" s="212">
        <f>COUNTIF('Winter 2017-18'!$L$23:$L$121,"L'boro")</f>
        <v>16</v>
      </c>
      <c r="I10" s="212">
        <f>'Winter 2017-18'!E87+'Winter 2017-18'!G88+'Winter 2017-18'!G90+'Winter 2017-18'!G92+'Winter 2017-18'!E95+'Winter 2017-18'!E96+'Winter 2017-18'!G104+'Winter 2017-18'!E106+'Winter 2017-18'!G108+'Winter 2017-18'!G111+'Winter 2017-18'!G112+'Winter 2017-18'!E115+'Winter 2017-18'!E117+'Winter 2017-18'!E119+'Winter 2017-18'!E121</f>
        <v>393</v>
      </c>
      <c r="J10" s="212">
        <f>'Winter 2017-18'!G87+'Winter 2017-18'!E88+'Winter 2017-18'!E90+'Winter 2017-18'!E92+'Winter 2017-18'!G95+'Winter 2017-18'!G96+'Winter 2017-18'!E104+'Winter 2017-18'!G106+'Winter 2017-18'!E108+'Winter 2017-18'!E111+'Winter 2017-18'!E112+'Winter 2017-18'!G115+'Winter 2017-18'!G117+'Winter 2017-18'!G119+'Winter 2017-18'!G121</f>
        <v>770</v>
      </c>
      <c r="K10" s="212">
        <f t="shared" si="0"/>
        <v>-377</v>
      </c>
      <c r="L10" s="212">
        <f t="shared" si="1"/>
        <v>16</v>
      </c>
      <c r="M10" s="213">
        <f>Table1[[#This Row],[Won]]/Table1[[#This Row],[Played]]</f>
        <v>3.3333333333333333E-2</v>
      </c>
    </row>
    <row r="11" spans="2:22" x14ac:dyDescent="0.25">
      <c r="B11" s="214"/>
      <c r="C11" s="212"/>
      <c r="D11" s="214"/>
      <c r="E11" s="214"/>
      <c r="F11" s="214"/>
      <c r="G11" s="214"/>
      <c r="H11" s="214"/>
      <c r="I11" s="214"/>
      <c r="J11" s="214"/>
      <c r="K11" s="214"/>
      <c r="L11" s="214"/>
    </row>
    <row r="14" spans="2:22" ht="21" x14ac:dyDescent="0.25">
      <c r="C14" s="237" t="s">
        <v>147</v>
      </c>
      <c r="D14" s="237"/>
      <c r="E14" s="237"/>
      <c r="F14" s="237"/>
      <c r="G14" s="237"/>
      <c r="H14" s="237"/>
      <c r="I14" s="237"/>
      <c r="J14" s="237"/>
      <c r="K14" s="237"/>
      <c r="L14" s="237"/>
    </row>
    <row r="15" spans="2:22" x14ac:dyDescent="0.25">
      <c r="C15" s="208"/>
      <c r="D15" s="207" t="s">
        <v>155</v>
      </c>
    </row>
    <row r="16" spans="2:22" x14ac:dyDescent="0.25">
      <c r="C16" s="14" t="s">
        <v>154</v>
      </c>
      <c r="D16" s="206" t="s">
        <v>11</v>
      </c>
      <c r="E16" s="209" t="s">
        <v>46</v>
      </c>
      <c r="F16" s="209" t="s">
        <v>110</v>
      </c>
      <c r="G16" s="209" t="s">
        <v>111</v>
      </c>
      <c r="H16" s="209" t="s">
        <v>112</v>
      </c>
      <c r="I16" s="209" t="s">
        <v>83</v>
      </c>
      <c r="J16" s="209" t="s">
        <v>76</v>
      </c>
      <c r="K16" s="209" t="s">
        <v>146</v>
      </c>
      <c r="L16" s="209" t="s">
        <v>53</v>
      </c>
      <c r="M16" s="209" t="s">
        <v>85</v>
      </c>
    </row>
    <row r="17" spans="3:13" x14ac:dyDescent="0.25">
      <c r="C17" s="211">
        <v>1</v>
      </c>
      <c r="D17" s="210" t="s">
        <v>5</v>
      </c>
      <c r="E17" s="212">
        <v>27</v>
      </c>
      <c r="F17" s="212">
        <v>17</v>
      </c>
      <c r="G17" s="212">
        <v>1</v>
      </c>
      <c r="H17" s="212">
        <v>9</v>
      </c>
      <c r="I17" s="212">
        <v>904</v>
      </c>
      <c r="J17" s="212">
        <v>613</v>
      </c>
      <c r="K17" s="212">
        <v>291</v>
      </c>
      <c r="L17" s="212">
        <v>52</v>
      </c>
      <c r="M17" s="213">
        <v>0.62962962962962965</v>
      </c>
    </row>
    <row r="18" spans="3:13" x14ac:dyDescent="0.25">
      <c r="C18" s="211">
        <v>2</v>
      </c>
      <c r="D18" s="210" t="s">
        <v>114</v>
      </c>
      <c r="E18" s="212">
        <v>27</v>
      </c>
      <c r="F18" s="212">
        <v>17</v>
      </c>
      <c r="G18" s="212">
        <v>0</v>
      </c>
      <c r="H18" s="212">
        <v>10</v>
      </c>
      <c r="I18" s="212">
        <v>621</v>
      </c>
      <c r="J18" s="212">
        <v>625</v>
      </c>
      <c r="K18" s="212">
        <v>-4</v>
      </c>
      <c r="L18" s="212">
        <v>51</v>
      </c>
      <c r="M18" s="213">
        <v>0.62962962962962965</v>
      </c>
    </row>
    <row r="19" spans="3:13" x14ac:dyDescent="0.25">
      <c r="C19" s="211">
        <v>3</v>
      </c>
      <c r="D19" s="210" t="s">
        <v>0</v>
      </c>
      <c r="E19" s="212">
        <v>27</v>
      </c>
      <c r="F19" s="212">
        <v>16</v>
      </c>
      <c r="G19" s="212">
        <v>1</v>
      </c>
      <c r="H19" s="212">
        <v>10</v>
      </c>
      <c r="I19" s="212">
        <v>347</v>
      </c>
      <c r="J19" s="212">
        <v>341</v>
      </c>
      <c r="K19" s="212">
        <v>6</v>
      </c>
      <c r="L19" s="212">
        <v>49</v>
      </c>
      <c r="M19" s="213">
        <v>0.59259259259259256</v>
      </c>
    </row>
    <row r="20" spans="3:13" x14ac:dyDescent="0.25">
      <c r="C20" s="211">
        <v>4</v>
      </c>
      <c r="D20" s="210" t="s">
        <v>1</v>
      </c>
      <c r="E20" s="212">
        <v>24</v>
      </c>
      <c r="F20" s="212">
        <v>12</v>
      </c>
      <c r="G20" s="212">
        <v>0</v>
      </c>
      <c r="H20" s="212">
        <v>12</v>
      </c>
      <c r="I20" s="212">
        <v>547</v>
      </c>
      <c r="J20" s="212">
        <v>707</v>
      </c>
      <c r="K20" s="212">
        <v>-160</v>
      </c>
      <c r="L20" s="212">
        <v>36</v>
      </c>
      <c r="M20" s="213">
        <v>0.5</v>
      </c>
    </row>
    <row r="21" spans="3:13" x14ac:dyDescent="0.25">
      <c r="C21" s="211">
        <v>5</v>
      </c>
      <c r="D21" s="210" t="s">
        <v>109</v>
      </c>
      <c r="E21" s="212">
        <v>24</v>
      </c>
      <c r="F21" s="212">
        <v>12</v>
      </c>
      <c r="G21" s="212">
        <v>0</v>
      </c>
      <c r="H21" s="212">
        <v>12</v>
      </c>
      <c r="I21" s="212">
        <v>588</v>
      </c>
      <c r="J21" s="212">
        <v>468</v>
      </c>
      <c r="K21" s="212">
        <v>120</v>
      </c>
      <c r="L21" s="212">
        <v>36</v>
      </c>
      <c r="M21" s="213">
        <v>0.5</v>
      </c>
    </row>
    <row r="22" spans="3:13" x14ac:dyDescent="0.25">
      <c r="C22" s="211">
        <v>6</v>
      </c>
      <c r="D22" s="210" t="s">
        <v>108</v>
      </c>
      <c r="E22" s="212">
        <v>27</v>
      </c>
      <c r="F22" s="212">
        <v>3</v>
      </c>
      <c r="G22" s="212">
        <v>0</v>
      </c>
      <c r="H22" s="212">
        <v>24</v>
      </c>
      <c r="I22" s="212">
        <v>393</v>
      </c>
      <c r="J22" s="212">
        <v>770</v>
      </c>
      <c r="K22" s="212">
        <v>-377</v>
      </c>
      <c r="L22" s="212">
        <v>9</v>
      </c>
      <c r="M22" s="213">
        <v>0.1111111111111111</v>
      </c>
    </row>
  </sheetData>
  <sortState ref="C4:L9">
    <sortCondition descending="1" ref="L4:L9"/>
    <sortCondition ref="J4:J9"/>
  </sortState>
  <mergeCells count="2">
    <mergeCell ref="C2:L2"/>
    <mergeCell ref="C14:L14"/>
  </mergeCell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workbookViewId="0">
      <selection activeCell="N37" sqref="N37"/>
    </sheetView>
  </sheetViews>
  <sheetFormatPr defaultRowHeight="12.75" x14ac:dyDescent="0.25"/>
  <cols>
    <col min="1" max="1" width="8.42578125" style="114" customWidth="1"/>
    <col min="2" max="2" width="8.5703125" style="114" customWidth="1"/>
    <col min="3" max="16384" width="9.140625" style="114"/>
  </cols>
  <sheetData>
    <row r="1" spans="1:15" ht="8.25" customHeight="1" thickBot="1" x14ac:dyDescent="0.3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3"/>
    </row>
    <row r="2" spans="1:15" ht="27" customHeight="1" thickBot="1" x14ac:dyDescent="0.3">
      <c r="A2" s="115"/>
      <c r="B2" s="116"/>
      <c r="C2" s="117" t="s">
        <v>87</v>
      </c>
      <c r="D2" s="243" t="s">
        <v>65</v>
      </c>
      <c r="E2" s="243"/>
      <c r="F2" s="118" t="s">
        <v>88</v>
      </c>
      <c r="G2" s="243" t="s">
        <v>56</v>
      </c>
      <c r="H2" s="244"/>
      <c r="I2" s="116"/>
      <c r="J2" s="117" t="s">
        <v>89</v>
      </c>
      <c r="K2" s="119"/>
      <c r="L2" s="120"/>
      <c r="M2" s="116"/>
      <c r="N2" s="116"/>
      <c r="O2" s="121"/>
    </row>
    <row r="3" spans="1:15" ht="9.75" customHeight="1" x14ac:dyDescent="0.25">
      <c r="A3" s="11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21"/>
    </row>
    <row r="4" spans="1:15" ht="18" customHeight="1" x14ac:dyDescent="0.25">
      <c r="A4" s="115"/>
      <c r="B4" s="116" t="s">
        <v>118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21"/>
    </row>
    <row r="5" spans="1:15" ht="18" customHeight="1" thickBot="1" x14ac:dyDescent="0.3">
      <c r="A5" s="115"/>
      <c r="B5" s="116"/>
      <c r="C5" s="116" t="s">
        <v>90</v>
      </c>
      <c r="D5" s="116"/>
      <c r="E5" s="116"/>
      <c r="F5" s="116"/>
      <c r="G5" s="116"/>
      <c r="H5" s="116"/>
      <c r="I5" s="116" t="s">
        <v>91</v>
      </c>
      <c r="J5" s="116"/>
      <c r="K5" s="116"/>
      <c r="L5" s="116"/>
      <c r="M5" s="116"/>
      <c r="N5" s="116"/>
      <c r="O5" s="121"/>
    </row>
    <row r="6" spans="1:15" ht="18" customHeight="1" thickBot="1" x14ac:dyDescent="0.3">
      <c r="A6" s="115"/>
      <c r="B6" s="238" t="s">
        <v>92</v>
      </c>
      <c r="C6" s="241"/>
      <c r="D6" s="241"/>
      <c r="E6" s="241"/>
      <c r="F6" s="241"/>
      <c r="G6" s="241"/>
      <c r="H6" s="242" t="s">
        <v>93</v>
      </c>
      <c r="I6" s="241"/>
      <c r="J6" s="241"/>
      <c r="K6" s="241"/>
      <c r="L6" s="241"/>
      <c r="M6" s="241"/>
      <c r="N6" s="242" t="s">
        <v>94</v>
      </c>
      <c r="O6" s="121"/>
    </row>
    <row r="7" spans="1:15" ht="18" customHeight="1" thickBot="1" x14ac:dyDescent="0.3">
      <c r="A7" s="115"/>
      <c r="B7" s="239"/>
      <c r="C7" s="241"/>
      <c r="D7" s="241"/>
      <c r="E7" s="241"/>
      <c r="F7" s="241"/>
      <c r="G7" s="241"/>
      <c r="H7" s="242"/>
      <c r="I7" s="241"/>
      <c r="J7" s="241"/>
      <c r="K7" s="241"/>
      <c r="L7" s="241"/>
      <c r="M7" s="241"/>
      <c r="N7" s="242"/>
      <c r="O7" s="121"/>
    </row>
    <row r="8" spans="1:15" ht="18" customHeight="1" thickBot="1" x14ac:dyDescent="0.3">
      <c r="A8" s="115"/>
      <c r="B8" s="239"/>
      <c r="C8" s="241"/>
      <c r="D8" s="241"/>
      <c r="E8" s="241"/>
      <c r="F8" s="241"/>
      <c r="G8" s="241"/>
      <c r="H8" s="122"/>
      <c r="I8" s="241"/>
      <c r="J8" s="241"/>
      <c r="K8" s="241"/>
      <c r="L8" s="241"/>
      <c r="M8" s="241"/>
      <c r="N8" s="122"/>
      <c r="O8" s="121"/>
    </row>
    <row r="9" spans="1:15" ht="18" customHeight="1" thickBot="1" x14ac:dyDescent="0.3">
      <c r="A9" s="115"/>
      <c r="B9" s="240"/>
      <c r="C9" s="241"/>
      <c r="D9" s="241"/>
      <c r="E9" s="241"/>
      <c r="F9" s="241"/>
      <c r="G9" s="241"/>
      <c r="H9" s="123"/>
      <c r="I9" s="241"/>
      <c r="J9" s="241"/>
      <c r="K9" s="241"/>
      <c r="L9" s="241"/>
      <c r="M9" s="241"/>
      <c r="N9" s="123"/>
      <c r="O9" s="121"/>
    </row>
    <row r="10" spans="1:15" ht="18" customHeight="1" thickBot="1" x14ac:dyDescent="0.3">
      <c r="A10" s="115"/>
      <c r="B10" s="116"/>
      <c r="C10" s="116" t="s">
        <v>95</v>
      </c>
      <c r="D10" s="116"/>
      <c r="E10" s="116"/>
      <c r="F10" s="116"/>
      <c r="G10" s="116"/>
      <c r="H10" s="116"/>
      <c r="I10" s="116" t="s">
        <v>91</v>
      </c>
      <c r="J10" s="116"/>
      <c r="K10" s="116"/>
      <c r="L10" s="116"/>
      <c r="M10" s="116"/>
      <c r="N10" s="116"/>
      <c r="O10" s="121"/>
    </row>
    <row r="11" spans="1:15" ht="18" customHeight="1" thickBot="1" x14ac:dyDescent="0.3">
      <c r="A11" s="115"/>
      <c r="B11" s="238" t="s">
        <v>96</v>
      </c>
      <c r="C11" s="241"/>
      <c r="D11" s="241"/>
      <c r="E11" s="241"/>
      <c r="F11" s="241"/>
      <c r="G11" s="241"/>
      <c r="H11" s="242" t="s">
        <v>97</v>
      </c>
      <c r="I11" s="241"/>
      <c r="J11" s="241"/>
      <c r="K11" s="241"/>
      <c r="L11" s="241"/>
      <c r="M11" s="241"/>
      <c r="N11" s="242" t="s">
        <v>98</v>
      </c>
      <c r="O11" s="121"/>
    </row>
    <row r="12" spans="1:15" ht="18" customHeight="1" thickBot="1" x14ac:dyDescent="0.3">
      <c r="A12" s="115"/>
      <c r="B12" s="239"/>
      <c r="C12" s="241"/>
      <c r="D12" s="241"/>
      <c r="E12" s="241"/>
      <c r="F12" s="241"/>
      <c r="G12" s="241"/>
      <c r="H12" s="242"/>
      <c r="I12" s="241"/>
      <c r="J12" s="241"/>
      <c r="K12" s="241"/>
      <c r="L12" s="241"/>
      <c r="M12" s="241"/>
      <c r="N12" s="242"/>
      <c r="O12" s="121"/>
    </row>
    <row r="13" spans="1:15" ht="18" customHeight="1" thickBot="1" x14ac:dyDescent="0.3">
      <c r="A13" s="115"/>
      <c r="B13" s="239"/>
      <c r="C13" s="241"/>
      <c r="D13" s="241"/>
      <c r="E13" s="241"/>
      <c r="F13" s="241"/>
      <c r="G13" s="241"/>
      <c r="H13" s="122"/>
      <c r="I13" s="241"/>
      <c r="J13" s="241"/>
      <c r="K13" s="241"/>
      <c r="L13" s="241"/>
      <c r="M13" s="241"/>
      <c r="N13" s="122"/>
      <c r="O13" s="121"/>
    </row>
    <row r="14" spans="1:15" ht="18" customHeight="1" thickBot="1" x14ac:dyDescent="0.3">
      <c r="A14" s="115"/>
      <c r="B14" s="240"/>
      <c r="C14" s="241"/>
      <c r="D14" s="241"/>
      <c r="E14" s="241"/>
      <c r="F14" s="241"/>
      <c r="G14" s="241"/>
      <c r="H14" s="123"/>
      <c r="I14" s="241"/>
      <c r="J14" s="241"/>
      <c r="K14" s="241"/>
      <c r="L14" s="241"/>
      <c r="M14" s="241"/>
      <c r="N14" s="123"/>
      <c r="O14" s="121"/>
    </row>
    <row r="15" spans="1:15" ht="18" customHeight="1" thickBot="1" x14ac:dyDescent="0.3">
      <c r="A15" s="115"/>
      <c r="B15" s="116"/>
      <c r="C15" s="116"/>
      <c r="D15" s="116"/>
      <c r="E15" s="117" t="s">
        <v>99</v>
      </c>
      <c r="F15" s="119"/>
      <c r="G15" s="119"/>
      <c r="H15" s="124"/>
      <c r="I15" s="116"/>
      <c r="J15" s="116"/>
      <c r="K15" s="116"/>
      <c r="L15" s="117" t="s">
        <v>100</v>
      </c>
      <c r="M15" s="119"/>
      <c r="N15" s="124"/>
      <c r="O15" s="121"/>
    </row>
    <row r="16" spans="1:15" ht="18" customHeight="1" thickBot="1" x14ac:dyDescent="0.3">
      <c r="A16" s="115"/>
      <c r="B16" s="116"/>
      <c r="C16" s="116"/>
      <c r="D16" s="116"/>
      <c r="E16" s="117" t="s">
        <v>102</v>
      </c>
      <c r="F16" s="119"/>
      <c r="G16" s="119"/>
      <c r="H16" s="124"/>
      <c r="I16" s="116"/>
      <c r="J16" s="116"/>
      <c r="K16" s="116"/>
      <c r="L16" s="116"/>
      <c r="M16" s="116"/>
      <c r="N16" s="116"/>
      <c r="O16" s="121"/>
    </row>
    <row r="17" spans="1:15" ht="18" customHeight="1" thickBot="1" x14ac:dyDescent="0.3">
      <c r="A17" s="115"/>
      <c r="B17" s="116"/>
      <c r="C17" s="116"/>
      <c r="D17" s="116"/>
      <c r="E17" s="117" t="s">
        <v>103</v>
      </c>
      <c r="F17" s="119"/>
      <c r="G17" s="119"/>
      <c r="H17" s="124"/>
      <c r="I17" s="117" t="s">
        <v>104</v>
      </c>
      <c r="J17" s="119"/>
      <c r="K17" s="124"/>
      <c r="L17" s="117" t="s">
        <v>101</v>
      </c>
      <c r="M17" s="119"/>
      <c r="N17" s="124"/>
      <c r="O17" s="121"/>
    </row>
    <row r="18" spans="1:15" ht="18" customHeight="1" x14ac:dyDescent="0.25">
      <c r="A18" s="115"/>
      <c r="B18" s="116" t="s">
        <v>119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21"/>
    </row>
    <row r="19" spans="1:15" ht="18" customHeight="1" thickBot="1" x14ac:dyDescent="0.3">
      <c r="A19" s="115"/>
      <c r="B19" s="116"/>
      <c r="C19" s="116" t="s">
        <v>90</v>
      </c>
      <c r="D19" s="116"/>
      <c r="E19" s="116"/>
      <c r="F19" s="116"/>
      <c r="G19" s="116"/>
      <c r="H19" s="116"/>
      <c r="I19" s="116" t="s">
        <v>91</v>
      </c>
      <c r="J19" s="116"/>
      <c r="K19" s="116"/>
      <c r="L19" s="116"/>
      <c r="M19" s="116"/>
      <c r="N19" s="116"/>
      <c r="O19" s="121"/>
    </row>
    <row r="20" spans="1:15" ht="18" customHeight="1" thickBot="1" x14ac:dyDescent="0.3">
      <c r="A20" s="115"/>
      <c r="B20" s="238" t="s">
        <v>92</v>
      </c>
      <c r="C20" s="241"/>
      <c r="D20" s="241"/>
      <c r="E20" s="241"/>
      <c r="F20" s="241"/>
      <c r="G20" s="241"/>
      <c r="H20" s="242" t="s">
        <v>93</v>
      </c>
      <c r="I20" s="241"/>
      <c r="J20" s="241"/>
      <c r="K20" s="241"/>
      <c r="L20" s="241"/>
      <c r="M20" s="241"/>
      <c r="N20" s="242" t="s">
        <v>94</v>
      </c>
      <c r="O20" s="121"/>
    </row>
    <row r="21" spans="1:15" ht="18" customHeight="1" thickBot="1" x14ac:dyDescent="0.3">
      <c r="A21" s="115"/>
      <c r="B21" s="239"/>
      <c r="C21" s="241"/>
      <c r="D21" s="241"/>
      <c r="E21" s="241"/>
      <c r="F21" s="241"/>
      <c r="G21" s="241"/>
      <c r="H21" s="242"/>
      <c r="I21" s="241"/>
      <c r="J21" s="241"/>
      <c r="K21" s="241"/>
      <c r="L21" s="241"/>
      <c r="M21" s="241"/>
      <c r="N21" s="242"/>
      <c r="O21" s="121"/>
    </row>
    <row r="22" spans="1:15" ht="18" customHeight="1" thickBot="1" x14ac:dyDescent="0.3">
      <c r="A22" s="115"/>
      <c r="B22" s="239"/>
      <c r="C22" s="241"/>
      <c r="D22" s="241"/>
      <c r="E22" s="241"/>
      <c r="F22" s="241"/>
      <c r="G22" s="241"/>
      <c r="H22" s="122"/>
      <c r="I22" s="241"/>
      <c r="J22" s="241"/>
      <c r="K22" s="241"/>
      <c r="L22" s="241"/>
      <c r="M22" s="241"/>
      <c r="N22" s="122"/>
      <c r="O22" s="121"/>
    </row>
    <row r="23" spans="1:15" ht="18" customHeight="1" thickBot="1" x14ac:dyDescent="0.3">
      <c r="A23" s="115"/>
      <c r="B23" s="240"/>
      <c r="C23" s="241"/>
      <c r="D23" s="241"/>
      <c r="E23" s="241"/>
      <c r="F23" s="241"/>
      <c r="G23" s="241"/>
      <c r="H23" s="123"/>
      <c r="I23" s="241"/>
      <c r="J23" s="241"/>
      <c r="K23" s="241"/>
      <c r="L23" s="241"/>
      <c r="M23" s="241"/>
      <c r="N23" s="123"/>
      <c r="O23" s="121"/>
    </row>
    <row r="24" spans="1:15" ht="18" customHeight="1" thickBot="1" x14ac:dyDescent="0.3">
      <c r="A24" s="115"/>
      <c r="B24" s="116"/>
      <c r="C24" s="116" t="s">
        <v>95</v>
      </c>
      <c r="D24" s="116"/>
      <c r="E24" s="116"/>
      <c r="F24" s="116"/>
      <c r="G24" s="116"/>
      <c r="H24" s="116"/>
      <c r="I24" s="116" t="s">
        <v>91</v>
      </c>
      <c r="J24" s="116"/>
      <c r="K24" s="116"/>
      <c r="L24" s="116"/>
      <c r="M24" s="116"/>
      <c r="N24" s="116"/>
      <c r="O24" s="121"/>
    </row>
    <row r="25" spans="1:15" ht="18" customHeight="1" thickBot="1" x14ac:dyDescent="0.3">
      <c r="A25" s="115"/>
      <c r="B25" s="238" t="s">
        <v>96</v>
      </c>
      <c r="C25" s="241"/>
      <c r="D25" s="241"/>
      <c r="E25" s="241"/>
      <c r="F25" s="241"/>
      <c r="G25" s="241"/>
      <c r="H25" s="242" t="s">
        <v>97</v>
      </c>
      <c r="I25" s="241"/>
      <c r="J25" s="241"/>
      <c r="K25" s="241"/>
      <c r="L25" s="241"/>
      <c r="M25" s="241"/>
      <c r="N25" s="242" t="s">
        <v>98</v>
      </c>
      <c r="O25" s="121"/>
    </row>
    <row r="26" spans="1:15" ht="18" customHeight="1" thickBot="1" x14ac:dyDescent="0.3">
      <c r="A26" s="115"/>
      <c r="B26" s="239"/>
      <c r="C26" s="241"/>
      <c r="D26" s="241"/>
      <c r="E26" s="241"/>
      <c r="F26" s="241"/>
      <c r="G26" s="241"/>
      <c r="H26" s="242"/>
      <c r="I26" s="241"/>
      <c r="J26" s="241"/>
      <c r="K26" s="241"/>
      <c r="L26" s="241"/>
      <c r="M26" s="241"/>
      <c r="N26" s="242"/>
      <c r="O26" s="121"/>
    </row>
    <row r="27" spans="1:15" ht="18" customHeight="1" thickBot="1" x14ac:dyDescent="0.3">
      <c r="A27" s="115"/>
      <c r="B27" s="239"/>
      <c r="C27" s="241"/>
      <c r="D27" s="241"/>
      <c r="E27" s="241"/>
      <c r="F27" s="241"/>
      <c r="G27" s="241"/>
      <c r="H27" s="122"/>
      <c r="I27" s="241"/>
      <c r="J27" s="241"/>
      <c r="K27" s="241"/>
      <c r="L27" s="241"/>
      <c r="M27" s="241"/>
      <c r="N27" s="122"/>
      <c r="O27" s="121"/>
    </row>
    <row r="28" spans="1:15" ht="18" customHeight="1" thickBot="1" x14ac:dyDescent="0.3">
      <c r="A28" s="115"/>
      <c r="B28" s="240"/>
      <c r="C28" s="241"/>
      <c r="D28" s="241"/>
      <c r="E28" s="241"/>
      <c r="F28" s="241"/>
      <c r="G28" s="241"/>
      <c r="H28" s="123"/>
      <c r="I28" s="241"/>
      <c r="J28" s="241"/>
      <c r="K28" s="241"/>
      <c r="L28" s="241"/>
      <c r="M28" s="241"/>
      <c r="N28" s="123"/>
      <c r="O28" s="121"/>
    </row>
    <row r="29" spans="1:15" ht="18" customHeight="1" thickBot="1" x14ac:dyDescent="0.3">
      <c r="A29" s="115"/>
      <c r="B29" s="116"/>
      <c r="C29" s="116"/>
      <c r="D29" s="116"/>
      <c r="E29" s="117" t="s">
        <v>99</v>
      </c>
      <c r="F29" s="119"/>
      <c r="G29" s="119"/>
      <c r="H29" s="124"/>
      <c r="I29" s="116"/>
      <c r="J29" s="116"/>
      <c r="K29" s="116"/>
      <c r="L29" s="117" t="s">
        <v>100</v>
      </c>
      <c r="M29" s="119"/>
      <c r="N29" s="124"/>
      <c r="O29" s="121"/>
    </row>
    <row r="30" spans="1:15" ht="18" customHeight="1" thickBot="1" x14ac:dyDescent="0.3">
      <c r="A30" s="115"/>
      <c r="B30" s="116"/>
      <c r="C30" s="116"/>
      <c r="D30" s="116"/>
      <c r="E30" s="117" t="s">
        <v>102</v>
      </c>
      <c r="F30" s="119"/>
      <c r="G30" s="119"/>
      <c r="H30" s="124"/>
      <c r="I30" s="116"/>
      <c r="J30" s="116"/>
      <c r="K30" s="116"/>
      <c r="L30" s="116"/>
      <c r="M30" s="116"/>
      <c r="N30" s="116"/>
      <c r="O30" s="121"/>
    </row>
    <row r="31" spans="1:15" ht="18" customHeight="1" thickBot="1" x14ac:dyDescent="0.3">
      <c r="A31" s="115"/>
      <c r="B31" s="116"/>
      <c r="C31" s="116"/>
      <c r="D31" s="116"/>
      <c r="E31" s="117" t="s">
        <v>103</v>
      </c>
      <c r="F31" s="119"/>
      <c r="G31" s="119"/>
      <c r="H31" s="124"/>
      <c r="I31" s="117" t="s">
        <v>104</v>
      </c>
      <c r="J31" s="119"/>
      <c r="K31" s="124"/>
      <c r="L31" s="117" t="s">
        <v>101</v>
      </c>
      <c r="M31" s="119"/>
      <c r="N31" s="124"/>
      <c r="O31" s="121"/>
    </row>
    <row r="32" spans="1:15" ht="18" customHeight="1" thickBot="1" x14ac:dyDescent="0.3">
      <c r="A32" s="125"/>
      <c r="B32" s="126"/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/>
    </row>
    <row r="33" spans="1:15" ht="10.5" customHeight="1" thickBot="1" x14ac:dyDescent="0.3">
      <c r="E33" s="116"/>
      <c r="F33" s="116"/>
      <c r="G33" s="116"/>
      <c r="H33" s="116"/>
      <c r="I33" s="116"/>
      <c r="J33" s="116"/>
      <c r="K33" s="116"/>
      <c r="L33" s="116"/>
      <c r="M33" s="116"/>
      <c r="N33" s="116"/>
    </row>
    <row r="34" spans="1:15" ht="9.75" customHeight="1" thickBot="1" x14ac:dyDescent="0.3">
      <c r="A34" s="111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3"/>
    </row>
    <row r="35" spans="1:15" ht="27" customHeight="1" thickBot="1" x14ac:dyDescent="0.3">
      <c r="A35" s="115"/>
      <c r="B35" s="116"/>
      <c r="C35" s="117" t="s">
        <v>87</v>
      </c>
      <c r="D35" s="243" t="s">
        <v>65</v>
      </c>
      <c r="E35" s="243"/>
      <c r="F35" s="118" t="s">
        <v>88</v>
      </c>
      <c r="G35" s="243" t="s">
        <v>56</v>
      </c>
      <c r="H35" s="244"/>
      <c r="I35" s="116"/>
      <c r="J35" s="117" t="s">
        <v>89</v>
      </c>
      <c r="K35" s="119"/>
      <c r="L35" s="120"/>
      <c r="M35" s="116"/>
      <c r="N35" s="116"/>
      <c r="O35" s="121"/>
    </row>
    <row r="36" spans="1:15" ht="9.75" customHeight="1" x14ac:dyDescent="0.25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21"/>
    </row>
    <row r="37" spans="1:15" ht="18" customHeight="1" x14ac:dyDescent="0.25">
      <c r="A37" s="115"/>
      <c r="B37" s="116" t="s">
        <v>118</v>
      </c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21"/>
    </row>
    <row r="38" spans="1:15" ht="18" customHeight="1" thickBot="1" x14ac:dyDescent="0.3">
      <c r="A38" s="115"/>
      <c r="B38" s="116"/>
      <c r="C38" s="116" t="s">
        <v>90</v>
      </c>
      <c r="D38" s="116"/>
      <c r="E38" s="116"/>
      <c r="F38" s="116"/>
      <c r="G38" s="116"/>
      <c r="H38" s="116"/>
      <c r="I38" s="116" t="s">
        <v>91</v>
      </c>
      <c r="J38" s="116"/>
      <c r="K38" s="116"/>
      <c r="L38" s="116"/>
      <c r="M38" s="116"/>
      <c r="N38" s="116"/>
      <c r="O38" s="121"/>
    </row>
    <row r="39" spans="1:15" ht="18" customHeight="1" thickBot="1" x14ac:dyDescent="0.3">
      <c r="A39" s="115"/>
      <c r="B39" s="238" t="s">
        <v>92</v>
      </c>
      <c r="C39" s="241"/>
      <c r="D39" s="241"/>
      <c r="E39" s="241"/>
      <c r="F39" s="241"/>
      <c r="G39" s="241"/>
      <c r="H39" s="242" t="s">
        <v>93</v>
      </c>
      <c r="I39" s="241"/>
      <c r="J39" s="241"/>
      <c r="K39" s="241"/>
      <c r="L39" s="241"/>
      <c r="M39" s="241"/>
      <c r="N39" s="242" t="s">
        <v>94</v>
      </c>
      <c r="O39" s="121"/>
    </row>
    <row r="40" spans="1:15" ht="18" customHeight="1" thickBot="1" x14ac:dyDescent="0.3">
      <c r="A40" s="115"/>
      <c r="B40" s="239"/>
      <c r="C40" s="241"/>
      <c r="D40" s="241"/>
      <c r="E40" s="241"/>
      <c r="F40" s="241"/>
      <c r="G40" s="241"/>
      <c r="H40" s="242"/>
      <c r="I40" s="241"/>
      <c r="J40" s="241"/>
      <c r="K40" s="241"/>
      <c r="L40" s="241"/>
      <c r="M40" s="241"/>
      <c r="N40" s="242"/>
      <c r="O40" s="121"/>
    </row>
    <row r="41" spans="1:15" ht="18" customHeight="1" thickBot="1" x14ac:dyDescent="0.3">
      <c r="A41" s="115"/>
      <c r="B41" s="239"/>
      <c r="C41" s="241"/>
      <c r="D41" s="241"/>
      <c r="E41" s="241"/>
      <c r="F41" s="241"/>
      <c r="G41" s="241"/>
      <c r="H41" s="122"/>
      <c r="I41" s="241"/>
      <c r="J41" s="241"/>
      <c r="K41" s="241"/>
      <c r="L41" s="241"/>
      <c r="M41" s="241"/>
      <c r="N41" s="122"/>
      <c r="O41" s="121"/>
    </row>
    <row r="42" spans="1:15" ht="18" customHeight="1" thickBot="1" x14ac:dyDescent="0.3">
      <c r="A42" s="115"/>
      <c r="B42" s="240"/>
      <c r="C42" s="241"/>
      <c r="D42" s="241"/>
      <c r="E42" s="241"/>
      <c r="F42" s="241"/>
      <c r="G42" s="241"/>
      <c r="H42" s="123"/>
      <c r="I42" s="241"/>
      <c r="J42" s="241"/>
      <c r="K42" s="241"/>
      <c r="L42" s="241"/>
      <c r="M42" s="241"/>
      <c r="N42" s="123"/>
      <c r="O42" s="121"/>
    </row>
    <row r="43" spans="1:15" ht="18" customHeight="1" thickBot="1" x14ac:dyDescent="0.3">
      <c r="A43" s="115"/>
      <c r="B43" s="116"/>
      <c r="C43" s="116" t="s">
        <v>95</v>
      </c>
      <c r="D43" s="116"/>
      <c r="E43" s="116"/>
      <c r="F43" s="116"/>
      <c r="G43" s="116"/>
      <c r="H43" s="116"/>
      <c r="I43" s="116" t="s">
        <v>91</v>
      </c>
      <c r="J43" s="116"/>
      <c r="K43" s="116"/>
      <c r="L43" s="116"/>
      <c r="M43" s="116"/>
      <c r="N43" s="116"/>
      <c r="O43" s="121"/>
    </row>
    <row r="44" spans="1:15" ht="18" customHeight="1" thickBot="1" x14ac:dyDescent="0.3">
      <c r="A44" s="115"/>
      <c r="B44" s="238" t="s">
        <v>96</v>
      </c>
      <c r="C44" s="241"/>
      <c r="D44" s="241"/>
      <c r="E44" s="241"/>
      <c r="F44" s="241"/>
      <c r="G44" s="241"/>
      <c r="H44" s="242" t="s">
        <v>97</v>
      </c>
      <c r="I44" s="241"/>
      <c r="J44" s="241"/>
      <c r="K44" s="241"/>
      <c r="L44" s="241"/>
      <c r="M44" s="241"/>
      <c r="N44" s="242" t="s">
        <v>98</v>
      </c>
      <c r="O44" s="121"/>
    </row>
    <row r="45" spans="1:15" ht="18" customHeight="1" thickBot="1" x14ac:dyDescent="0.3">
      <c r="A45" s="115"/>
      <c r="B45" s="239"/>
      <c r="C45" s="241"/>
      <c r="D45" s="241"/>
      <c r="E45" s="241"/>
      <c r="F45" s="241"/>
      <c r="G45" s="241"/>
      <c r="H45" s="242"/>
      <c r="I45" s="241"/>
      <c r="J45" s="241"/>
      <c r="K45" s="241"/>
      <c r="L45" s="241"/>
      <c r="M45" s="241"/>
      <c r="N45" s="242"/>
      <c r="O45" s="121"/>
    </row>
    <row r="46" spans="1:15" ht="18" customHeight="1" thickBot="1" x14ac:dyDescent="0.3">
      <c r="A46" s="115"/>
      <c r="B46" s="239"/>
      <c r="C46" s="241"/>
      <c r="D46" s="241"/>
      <c r="E46" s="241"/>
      <c r="F46" s="241"/>
      <c r="G46" s="241"/>
      <c r="H46" s="122"/>
      <c r="I46" s="241"/>
      <c r="J46" s="241"/>
      <c r="K46" s="241"/>
      <c r="L46" s="241"/>
      <c r="M46" s="241"/>
      <c r="N46" s="122"/>
      <c r="O46" s="121"/>
    </row>
    <row r="47" spans="1:15" ht="18" customHeight="1" thickBot="1" x14ac:dyDescent="0.3">
      <c r="A47" s="115"/>
      <c r="B47" s="240"/>
      <c r="C47" s="241"/>
      <c r="D47" s="241"/>
      <c r="E47" s="241"/>
      <c r="F47" s="241"/>
      <c r="G47" s="241"/>
      <c r="H47" s="123"/>
      <c r="I47" s="241"/>
      <c r="J47" s="241"/>
      <c r="K47" s="241"/>
      <c r="L47" s="241"/>
      <c r="M47" s="241"/>
      <c r="N47" s="123"/>
      <c r="O47" s="121"/>
    </row>
    <row r="48" spans="1:15" ht="18" customHeight="1" thickBot="1" x14ac:dyDescent="0.3">
      <c r="A48" s="115"/>
      <c r="B48" s="116"/>
      <c r="C48" s="116"/>
      <c r="D48" s="116"/>
      <c r="E48" s="117" t="s">
        <v>99</v>
      </c>
      <c r="F48" s="119"/>
      <c r="G48" s="119"/>
      <c r="H48" s="124"/>
      <c r="I48" s="116"/>
      <c r="J48" s="116"/>
      <c r="K48" s="116"/>
      <c r="L48" s="117" t="s">
        <v>100</v>
      </c>
      <c r="M48" s="119"/>
      <c r="N48" s="124"/>
      <c r="O48" s="121"/>
    </row>
    <row r="49" spans="1:15" ht="18" customHeight="1" thickBot="1" x14ac:dyDescent="0.3">
      <c r="A49" s="115"/>
      <c r="B49" s="116"/>
      <c r="C49" s="116"/>
      <c r="D49" s="116"/>
      <c r="E49" s="117" t="s">
        <v>102</v>
      </c>
      <c r="F49" s="119"/>
      <c r="G49" s="119"/>
      <c r="H49" s="124"/>
      <c r="I49" s="116"/>
      <c r="J49" s="116"/>
      <c r="K49" s="116"/>
      <c r="L49" s="116"/>
      <c r="M49" s="116"/>
      <c r="N49" s="116"/>
      <c r="O49" s="121"/>
    </row>
    <row r="50" spans="1:15" ht="18" customHeight="1" thickBot="1" x14ac:dyDescent="0.3">
      <c r="A50" s="115"/>
      <c r="B50" s="116"/>
      <c r="C50" s="116"/>
      <c r="D50" s="116"/>
      <c r="E50" s="117" t="s">
        <v>103</v>
      </c>
      <c r="F50" s="119"/>
      <c r="G50" s="119"/>
      <c r="H50" s="124"/>
      <c r="I50" s="117" t="s">
        <v>104</v>
      </c>
      <c r="J50" s="119"/>
      <c r="K50" s="124"/>
      <c r="L50" s="117" t="s">
        <v>101</v>
      </c>
      <c r="M50" s="119"/>
      <c r="N50" s="124"/>
      <c r="O50" s="121"/>
    </row>
    <row r="51" spans="1:15" ht="18" customHeight="1" x14ac:dyDescent="0.25">
      <c r="A51" s="115"/>
      <c r="B51" s="116" t="s">
        <v>119</v>
      </c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21"/>
    </row>
    <row r="52" spans="1:15" ht="18" customHeight="1" thickBot="1" x14ac:dyDescent="0.3">
      <c r="A52" s="115"/>
      <c r="B52" s="116"/>
      <c r="C52" s="116" t="s">
        <v>90</v>
      </c>
      <c r="D52" s="116"/>
      <c r="E52" s="116"/>
      <c r="F52" s="116"/>
      <c r="G52" s="116"/>
      <c r="H52" s="116"/>
      <c r="I52" s="116" t="s">
        <v>91</v>
      </c>
      <c r="J52" s="116"/>
      <c r="K52" s="116"/>
      <c r="L52" s="116"/>
      <c r="M52" s="116"/>
      <c r="N52" s="116"/>
      <c r="O52" s="121"/>
    </row>
    <row r="53" spans="1:15" ht="18" customHeight="1" thickBot="1" x14ac:dyDescent="0.3">
      <c r="A53" s="115"/>
      <c r="B53" s="238" t="s">
        <v>92</v>
      </c>
      <c r="C53" s="241"/>
      <c r="D53" s="241"/>
      <c r="E53" s="241"/>
      <c r="F53" s="241"/>
      <c r="G53" s="241"/>
      <c r="H53" s="242" t="s">
        <v>93</v>
      </c>
      <c r="I53" s="241"/>
      <c r="J53" s="241"/>
      <c r="K53" s="241"/>
      <c r="L53" s="241"/>
      <c r="M53" s="241"/>
      <c r="N53" s="242" t="s">
        <v>94</v>
      </c>
      <c r="O53" s="121"/>
    </row>
    <row r="54" spans="1:15" ht="18" customHeight="1" thickBot="1" x14ac:dyDescent="0.3">
      <c r="A54" s="115"/>
      <c r="B54" s="239"/>
      <c r="C54" s="241"/>
      <c r="D54" s="241"/>
      <c r="E54" s="241"/>
      <c r="F54" s="241"/>
      <c r="G54" s="241"/>
      <c r="H54" s="242"/>
      <c r="I54" s="241"/>
      <c r="J54" s="241"/>
      <c r="K54" s="241"/>
      <c r="L54" s="241"/>
      <c r="M54" s="241"/>
      <c r="N54" s="242"/>
      <c r="O54" s="121"/>
    </row>
    <row r="55" spans="1:15" ht="18" customHeight="1" thickBot="1" x14ac:dyDescent="0.3">
      <c r="A55" s="115"/>
      <c r="B55" s="239"/>
      <c r="C55" s="241"/>
      <c r="D55" s="241"/>
      <c r="E55" s="241"/>
      <c r="F55" s="241"/>
      <c r="G55" s="241"/>
      <c r="H55" s="122"/>
      <c r="I55" s="241"/>
      <c r="J55" s="241"/>
      <c r="K55" s="241"/>
      <c r="L55" s="241"/>
      <c r="M55" s="241"/>
      <c r="N55" s="122"/>
      <c r="O55" s="121"/>
    </row>
    <row r="56" spans="1:15" ht="18" customHeight="1" thickBot="1" x14ac:dyDescent="0.3">
      <c r="A56" s="115"/>
      <c r="B56" s="240"/>
      <c r="C56" s="241"/>
      <c r="D56" s="241"/>
      <c r="E56" s="241"/>
      <c r="F56" s="241"/>
      <c r="G56" s="241"/>
      <c r="H56" s="123"/>
      <c r="I56" s="241"/>
      <c r="J56" s="241"/>
      <c r="K56" s="241"/>
      <c r="L56" s="241"/>
      <c r="M56" s="241"/>
      <c r="N56" s="123"/>
      <c r="O56" s="121"/>
    </row>
    <row r="57" spans="1:15" ht="18" customHeight="1" thickBot="1" x14ac:dyDescent="0.3">
      <c r="A57" s="115"/>
      <c r="B57" s="116"/>
      <c r="C57" s="116" t="s">
        <v>95</v>
      </c>
      <c r="D57" s="116"/>
      <c r="E57" s="116"/>
      <c r="F57" s="116"/>
      <c r="G57" s="116"/>
      <c r="H57" s="116"/>
      <c r="I57" s="116" t="s">
        <v>91</v>
      </c>
      <c r="J57" s="116"/>
      <c r="K57" s="116"/>
      <c r="L57" s="116"/>
      <c r="M57" s="116"/>
      <c r="N57" s="116"/>
      <c r="O57" s="121"/>
    </row>
    <row r="58" spans="1:15" ht="18" customHeight="1" thickBot="1" x14ac:dyDescent="0.3">
      <c r="A58" s="115"/>
      <c r="B58" s="238" t="s">
        <v>96</v>
      </c>
      <c r="C58" s="241"/>
      <c r="D58" s="241"/>
      <c r="E58" s="241"/>
      <c r="F58" s="241"/>
      <c r="G58" s="241"/>
      <c r="H58" s="242" t="s">
        <v>97</v>
      </c>
      <c r="I58" s="241"/>
      <c r="J58" s="241"/>
      <c r="K58" s="241"/>
      <c r="L58" s="241"/>
      <c r="M58" s="241"/>
      <c r="N58" s="242" t="s">
        <v>98</v>
      </c>
      <c r="O58" s="121"/>
    </row>
    <row r="59" spans="1:15" ht="18" customHeight="1" thickBot="1" x14ac:dyDescent="0.3">
      <c r="A59" s="115"/>
      <c r="B59" s="239"/>
      <c r="C59" s="241"/>
      <c r="D59" s="241"/>
      <c r="E59" s="241"/>
      <c r="F59" s="241"/>
      <c r="G59" s="241"/>
      <c r="H59" s="242"/>
      <c r="I59" s="241"/>
      <c r="J59" s="241"/>
      <c r="K59" s="241"/>
      <c r="L59" s="241"/>
      <c r="M59" s="241"/>
      <c r="N59" s="242"/>
      <c r="O59" s="121"/>
    </row>
    <row r="60" spans="1:15" ht="18" customHeight="1" thickBot="1" x14ac:dyDescent="0.3">
      <c r="A60" s="115"/>
      <c r="B60" s="239"/>
      <c r="C60" s="241"/>
      <c r="D60" s="241"/>
      <c r="E60" s="241"/>
      <c r="F60" s="241"/>
      <c r="G60" s="241"/>
      <c r="H60" s="122"/>
      <c r="I60" s="241"/>
      <c r="J60" s="241"/>
      <c r="K60" s="241"/>
      <c r="L60" s="241"/>
      <c r="M60" s="241"/>
      <c r="N60" s="122"/>
      <c r="O60" s="121"/>
    </row>
    <row r="61" spans="1:15" ht="18" customHeight="1" thickBot="1" x14ac:dyDescent="0.3">
      <c r="A61" s="115"/>
      <c r="B61" s="240"/>
      <c r="C61" s="241"/>
      <c r="D61" s="241"/>
      <c r="E61" s="241"/>
      <c r="F61" s="241"/>
      <c r="G61" s="241"/>
      <c r="H61" s="123"/>
      <c r="I61" s="241"/>
      <c r="J61" s="241"/>
      <c r="K61" s="241"/>
      <c r="L61" s="241"/>
      <c r="M61" s="241"/>
      <c r="N61" s="123"/>
      <c r="O61" s="121"/>
    </row>
    <row r="62" spans="1:15" ht="18" customHeight="1" thickBot="1" x14ac:dyDescent="0.3">
      <c r="A62" s="115"/>
      <c r="B62" s="116"/>
      <c r="C62" s="116"/>
      <c r="D62" s="116"/>
      <c r="E62" s="117" t="s">
        <v>99</v>
      </c>
      <c r="F62" s="119"/>
      <c r="G62" s="119"/>
      <c r="H62" s="124"/>
      <c r="I62" s="116"/>
      <c r="J62" s="116"/>
      <c r="K62" s="116"/>
      <c r="L62" s="117" t="s">
        <v>100</v>
      </c>
      <c r="M62" s="119"/>
      <c r="N62" s="124"/>
      <c r="O62" s="121"/>
    </row>
    <row r="63" spans="1:15" ht="18" customHeight="1" thickBot="1" x14ac:dyDescent="0.3">
      <c r="A63" s="115"/>
      <c r="B63" s="116"/>
      <c r="C63" s="116"/>
      <c r="D63" s="116"/>
      <c r="E63" s="117" t="s">
        <v>102</v>
      </c>
      <c r="F63" s="119"/>
      <c r="G63" s="119"/>
      <c r="H63" s="124"/>
      <c r="I63" s="116"/>
      <c r="J63" s="116"/>
      <c r="K63" s="116"/>
      <c r="L63" s="116"/>
      <c r="M63" s="116"/>
      <c r="N63" s="116"/>
      <c r="O63" s="121"/>
    </row>
    <row r="64" spans="1:15" ht="18" customHeight="1" thickBot="1" x14ac:dyDescent="0.3">
      <c r="A64" s="115"/>
      <c r="B64" s="116"/>
      <c r="C64" s="116"/>
      <c r="D64" s="116"/>
      <c r="E64" s="117" t="s">
        <v>103</v>
      </c>
      <c r="F64" s="119"/>
      <c r="G64" s="119"/>
      <c r="H64" s="124"/>
      <c r="I64" s="117" t="s">
        <v>104</v>
      </c>
      <c r="J64" s="119"/>
      <c r="K64" s="124"/>
      <c r="L64" s="117" t="s">
        <v>101</v>
      </c>
      <c r="M64" s="119"/>
      <c r="N64" s="124"/>
      <c r="O64" s="121"/>
    </row>
    <row r="65" spans="1:15" ht="13.5" thickBot="1" x14ac:dyDescent="0.3">
      <c r="A65" s="125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7"/>
    </row>
  </sheetData>
  <mergeCells count="44">
    <mergeCell ref="D2:E2"/>
    <mergeCell ref="G2:H2"/>
    <mergeCell ref="D35:E35"/>
    <mergeCell ref="G35:H35"/>
    <mergeCell ref="B11:B14"/>
    <mergeCell ref="C11:G14"/>
    <mergeCell ref="H11:H12"/>
    <mergeCell ref="B25:B28"/>
    <mergeCell ref="C25:G28"/>
    <mergeCell ref="H25:H26"/>
    <mergeCell ref="I11:M14"/>
    <mergeCell ref="N11:N12"/>
    <mergeCell ref="B6:B9"/>
    <mergeCell ref="C6:G9"/>
    <mergeCell ref="H6:H7"/>
    <mergeCell ref="I6:M9"/>
    <mergeCell ref="N6:N7"/>
    <mergeCell ref="I25:M28"/>
    <mergeCell ref="N25:N26"/>
    <mergeCell ref="B20:B23"/>
    <mergeCell ref="C20:G23"/>
    <mergeCell ref="H20:H21"/>
    <mergeCell ref="I20:M23"/>
    <mergeCell ref="N20:N21"/>
    <mergeCell ref="B44:B47"/>
    <mergeCell ref="C44:G47"/>
    <mergeCell ref="H44:H45"/>
    <mergeCell ref="I44:M47"/>
    <mergeCell ref="N44:N45"/>
    <mergeCell ref="B39:B42"/>
    <mergeCell ref="C39:G42"/>
    <mergeCell ref="H39:H40"/>
    <mergeCell ref="I39:M42"/>
    <mergeCell ref="N39:N40"/>
    <mergeCell ref="B58:B61"/>
    <mergeCell ref="C58:G61"/>
    <mergeCell ref="H58:H59"/>
    <mergeCell ref="I58:M61"/>
    <mergeCell ref="N58:N59"/>
    <mergeCell ref="B53:B56"/>
    <mergeCell ref="C53:G56"/>
    <mergeCell ref="H53:H54"/>
    <mergeCell ref="I53:M56"/>
    <mergeCell ref="N53:N54"/>
  </mergeCells>
  <pageMargins left="0.11811023622047245" right="0.11811023622047245" top="0.15748031496062992" bottom="0.15748031496062992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showGridLines="0" workbookViewId="0">
      <selection activeCell="C14" sqref="C14"/>
    </sheetView>
  </sheetViews>
  <sheetFormatPr defaultRowHeight="15" x14ac:dyDescent="0.25"/>
  <cols>
    <col min="1" max="1" width="4.7109375" customWidth="1"/>
    <col min="2" max="8" width="12.140625" customWidth="1"/>
    <col min="11" max="11" width="14.140625" customWidth="1"/>
  </cols>
  <sheetData>
    <row r="1" spans="2:8" ht="6.75" customHeight="1" thickBot="1" x14ac:dyDescent="0.3"/>
    <row r="2" spans="2:8" ht="19.5" thickBot="1" x14ac:dyDescent="0.35">
      <c r="B2" s="245" t="s">
        <v>134</v>
      </c>
      <c r="C2" s="246"/>
      <c r="D2" s="246"/>
      <c r="E2" s="246"/>
      <c r="F2" s="246"/>
      <c r="G2" s="246"/>
      <c r="H2" s="247"/>
    </row>
    <row r="3" spans="2:8" ht="15.75" thickBot="1" x14ac:dyDescent="0.3"/>
    <row r="4" spans="2:8" ht="30.75" thickBot="1" x14ac:dyDescent="0.3">
      <c r="B4" s="14"/>
      <c r="C4" s="15" t="s">
        <v>25</v>
      </c>
      <c r="D4" s="16"/>
      <c r="E4" s="175" t="s">
        <v>105</v>
      </c>
      <c r="F4" s="17"/>
      <c r="G4" s="110" t="s">
        <v>105</v>
      </c>
      <c r="H4" s="137" t="s">
        <v>107</v>
      </c>
    </row>
    <row r="5" spans="2:8" x14ac:dyDescent="0.25">
      <c r="B5" s="22">
        <v>42687</v>
      </c>
      <c r="C5" s="150">
        <v>0.5625</v>
      </c>
      <c r="D5" s="24" t="s">
        <v>1</v>
      </c>
      <c r="E5" s="176"/>
      <c r="F5" s="155" t="s">
        <v>125</v>
      </c>
      <c r="G5" s="176"/>
      <c r="H5" s="34" t="s">
        <v>126</v>
      </c>
    </row>
    <row r="6" spans="2:8" x14ac:dyDescent="0.25">
      <c r="B6" s="37">
        <v>42687</v>
      </c>
      <c r="C6" s="151">
        <v>0.58333333333333337</v>
      </c>
      <c r="D6" s="32" t="s">
        <v>126</v>
      </c>
      <c r="E6" s="177"/>
      <c r="F6" s="157" t="s">
        <v>127</v>
      </c>
      <c r="G6" s="177"/>
      <c r="H6" s="34" t="s">
        <v>1</v>
      </c>
    </row>
    <row r="7" spans="2:8" x14ac:dyDescent="0.25">
      <c r="B7" s="37">
        <v>42687</v>
      </c>
      <c r="C7" s="151">
        <v>0.60416666666666663</v>
      </c>
      <c r="D7" s="32" t="s">
        <v>126</v>
      </c>
      <c r="E7" s="177"/>
      <c r="F7" s="157" t="s">
        <v>125</v>
      </c>
      <c r="G7" s="177"/>
      <c r="H7" s="34" t="s">
        <v>127</v>
      </c>
    </row>
    <row r="8" spans="2:8" x14ac:dyDescent="0.25">
      <c r="B8" s="37">
        <v>42687</v>
      </c>
      <c r="C8" s="151">
        <v>0.625</v>
      </c>
      <c r="D8" s="32" t="s">
        <v>1</v>
      </c>
      <c r="E8" s="177"/>
      <c r="F8" s="157" t="s">
        <v>127</v>
      </c>
      <c r="G8" s="177"/>
      <c r="H8" s="34" t="s">
        <v>125</v>
      </c>
    </row>
    <row r="9" spans="2:8" x14ac:dyDescent="0.25">
      <c r="B9" s="37">
        <v>42687</v>
      </c>
      <c r="C9" s="152">
        <v>0.64583333333333337</v>
      </c>
      <c r="D9" s="39" t="s">
        <v>125</v>
      </c>
      <c r="E9" s="177"/>
      <c r="F9" s="98" t="s">
        <v>127</v>
      </c>
      <c r="G9" s="177"/>
      <c r="H9" s="41" t="s">
        <v>1</v>
      </c>
    </row>
    <row r="10" spans="2:8" ht="15.75" thickBot="1" x14ac:dyDescent="0.3">
      <c r="B10" s="44">
        <v>42687</v>
      </c>
      <c r="C10" s="153">
        <v>0.66666666666666663</v>
      </c>
      <c r="D10" s="46" t="s">
        <v>1</v>
      </c>
      <c r="E10" s="163"/>
      <c r="F10" s="164" t="s">
        <v>126</v>
      </c>
      <c r="G10" s="180"/>
      <c r="H10" s="48" t="s">
        <v>125</v>
      </c>
    </row>
    <row r="11" spans="2:8" ht="12" customHeight="1" x14ac:dyDescent="0.25"/>
    <row r="12" spans="2:8" x14ac:dyDescent="0.25">
      <c r="B12" s="184" t="s">
        <v>128</v>
      </c>
      <c r="D12" s="183" t="s">
        <v>129</v>
      </c>
    </row>
    <row r="13" spans="2:8" ht="11.25" customHeight="1" x14ac:dyDescent="0.25">
      <c r="B13" s="184"/>
      <c r="D13" s="183"/>
    </row>
    <row r="14" spans="2:8" x14ac:dyDescent="0.25">
      <c r="B14" s="184" t="s">
        <v>141</v>
      </c>
      <c r="D14" s="183" t="s">
        <v>142</v>
      </c>
    </row>
    <row r="15" spans="2:8" x14ac:dyDescent="0.25">
      <c r="B15" s="184"/>
      <c r="D15" s="183" t="s">
        <v>143</v>
      </c>
    </row>
    <row r="16" spans="2:8" x14ac:dyDescent="0.25">
      <c r="B16" s="184"/>
      <c r="D16" s="183" t="s">
        <v>144</v>
      </c>
    </row>
    <row r="17" spans="2:4" ht="11.25" customHeight="1" x14ac:dyDescent="0.25">
      <c r="B17" s="184"/>
    </row>
    <row r="18" spans="2:4" x14ac:dyDescent="0.25">
      <c r="B18" s="184" t="s">
        <v>145</v>
      </c>
      <c r="D18" s="185" t="s">
        <v>130</v>
      </c>
    </row>
    <row r="19" spans="2:4" ht="10.5" customHeight="1" x14ac:dyDescent="0.25">
      <c r="B19" s="184"/>
      <c r="D19" s="185"/>
    </row>
    <row r="20" spans="2:4" x14ac:dyDescent="0.25">
      <c r="B20" s="184" t="s">
        <v>131</v>
      </c>
      <c r="D20" s="185" t="s">
        <v>133</v>
      </c>
    </row>
    <row r="21" spans="2:4" x14ac:dyDescent="0.25">
      <c r="D21" s="185" t="s">
        <v>132</v>
      </c>
    </row>
    <row r="22" spans="2:4" ht="11.25" customHeight="1" x14ac:dyDescent="0.25"/>
    <row r="23" spans="2:4" x14ac:dyDescent="0.25">
      <c r="B23" s="184" t="s">
        <v>135</v>
      </c>
      <c r="D23" s="185" t="s">
        <v>136</v>
      </c>
    </row>
    <row r="24" spans="2:4" x14ac:dyDescent="0.25">
      <c r="D24" s="185" t="s">
        <v>137</v>
      </c>
    </row>
    <row r="25" spans="2:4" x14ac:dyDescent="0.25">
      <c r="D25" s="185" t="s">
        <v>138</v>
      </c>
    </row>
    <row r="26" spans="2:4" x14ac:dyDescent="0.25">
      <c r="D26" s="185" t="s">
        <v>139</v>
      </c>
    </row>
    <row r="27" spans="2:4" x14ac:dyDescent="0.25">
      <c r="D27" s="185" t="s">
        <v>140</v>
      </c>
    </row>
  </sheetData>
  <mergeCells count="1">
    <mergeCell ref="B2:H2"/>
  </mergeCells>
  <pageMargins left="0.70866141732283472" right="0.70866141732283472" top="0.74803149606299213" bottom="0.74803149606299213" header="0.31496062992125984" footer="0.31496062992125984"/>
  <pageSetup paperSize="9" scale="12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21"/>
  <sheetViews>
    <sheetView showGridLines="0" tabSelected="1" zoomScale="130" zoomScaleNormal="130" workbookViewId="0">
      <selection activeCell="E25" sqref="E25"/>
    </sheetView>
  </sheetViews>
  <sheetFormatPr defaultRowHeight="15" x14ac:dyDescent="0.25"/>
  <cols>
    <col min="14" max="14" width="11.140625" bestFit="1" customWidth="1"/>
  </cols>
  <sheetData>
    <row r="3" spans="3:16" ht="23.25" x14ac:dyDescent="0.35">
      <c r="C3" s="223" t="s">
        <v>172</v>
      </c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191"/>
      <c r="P3" s="191"/>
    </row>
    <row r="4" spans="3:16" x14ac:dyDescent="0.25">
      <c r="C4" s="3"/>
      <c r="D4" s="3"/>
      <c r="E4" s="3">
        <v>1</v>
      </c>
      <c r="F4" s="132">
        <v>2</v>
      </c>
      <c r="G4" s="3">
        <v>3</v>
      </c>
      <c r="H4" s="132" t="s">
        <v>106</v>
      </c>
      <c r="I4" s="3">
        <v>4</v>
      </c>
      <c r="J4" s="3">
        <v>5</v>
      </c>
      <c r="K4" s="3">
        <v>6</v>
      </c>
      <c r="L4" s="3">
        <v>7</v>
      </c>
      <c r="M4" s="3" t="s">
        <v>122</v>
      </c>
      <c r="N4" s="2"/>
      <c r="O4" s="3"/>
      <c r="P4" s="3"/>
    </row>
    <row r="5" spans="3:16" x14ac:dyDescent="0.25">
      <c r="C5" s="128"/>
      <c r="D5" s="108" t="s">
        <v>11</v>
      </c>
      <c r="E5" s="169">
        <v>42665</v>
      </c>
      <c r="F5" s="169">
        <f t="shared" ref="F5:M5" si="0">E5+7</f>
        <v>42672</v>
      </c>
      <c r="G5" s="169">
        <f t="shared" si="0"/>
        <v>42679</v>
      </c>
      <c r="H5" s="169">
        <f t="shared" si="0"/>
        <v>42686</v>
      </c>
      <c r="I5" s="170">
        <f t="shared" si="0"/>
        <v>42693</v>
      </c>
      <c r="J5" s="169">
        <f t="shared" si="0"/>
        <v>42700</v>
      </c>
      <c r="K5" s="169">
        <f t="shared" si="0"/>
        <v>42707</v>
      </c>
      <c r="L5" s="169">
        <f t="shared" si="0"/>
        <v>42714</v>
      </c>
      <c r="M5" s="170">
        <f t="shared" si="0"/>
        <v>42721</v>
      </c>
      <c r="N5" s="129" t="s">
        <v>12</v>
      </c>
      <c r="O5" s="131" t="s">
        <v>14</v>
      </c>
      <c r="P5" s="130"/>
    </row>
    <row r="6" spans="3:16" ht="15" customHeight="1" x14ac:dyDescent="0.25">
      <c r="C6" s="133">
        <v>1</v>
      </c>
      <c r="D6" s="109" t="s">
        <v>157</v>
      </c>
      <c r="E6" s="141" t="s">
        <v>41</v>
      </c>
      <c r="F6" s="141" t="s">
        <v>41</v>
      </c>
      <c r="G6" s="141" t="s">
        <v>41</v>
      </c>
      <c r="H6" s="249" t="s">
        <v>173</v>
      </c>
      <c r="I6" s="231" t="s">
        <v>162</v>
      </c>
      <c r="J6" s="249" t="s">
        <v>173</v>
      </c>
      <c r="K6" s="109" t="s">
        <v>41</v>
      </c>
      <c r="L6" s="109" t="s">
        <v>41</v>
      </c>
      <c r="M6" s="228" t="s">
        <v>121</v>
      </c>
      <c r="N6" s="109">
        <f t="shared" ref="N6:N11" si="1">COUNTIF(E6:M6,"Playing")</f>
        <v>5</v>
      </c>
      <c r="O6" s="131" t="s">
        <v>16</v>
      </c>
      <c r="P6" s="130"/>
    </row>
    <row r="7" spans="3:16" x14ac:dyDescent="0.25">
      <c r="C7" s="215">
        <v>2</v>
      </c>
      <c r="D7" s="140" t="s">
        <v>0</v>
      </c>
      <c r="E7" s="248" t="s">
        <v>171</v>
      </c>
      <c r="F7" s="248" t="s">
        <v>171</v>
      </c>
      <c r="G7" s="140" t="s">
        <v>41</v>
      </c>
      <c r="H7" s="140" t="s">
        <v>41</v>
      </c>
      <c r="I7" s="232"/>
      <c r="J7" s="140" t="s">
        <v>41</v>
      </c>
      <c r="K7" s="249" t="s">
        <v>173</v>
      </c>
      <c r="L7" s="140" t="s">
        <v>41</v>
      </c>
      <c r="M7" s="229"/>
      <c r="N7" s="140">
        <f t="shared" si="1"/>
        <v>4</v>
      </c>
      <c r="O7" s="131" t="s">
        <v>18</v>
      </c>
      <c r="P7" s="130"/>
    </row>
    <row r="8" spans="3:16" x14ac:dyDescent="0.25">
      <c r="C8" s="133">
        <v>3</v>
      </c>
      <c r="D8" s="109" t="s">
        <v>1</v>
      </c>
      <c r="E8" s="109" t="s">
        <v>41</v>
      </c>
      <c r="F8" s="248" t="s">
        <v>171</v>
      </c>
      <c r="G8" s="109" t="s">
        <v>41</v>
      </c>
      <c r="H8" s="249" t="s">
        <v>173</v>
      </c>
      <c r="I8" s="232"/>
      <c r="J8" s="109" t="s">
        <v>41</v>
      </c>
      <c r="K8" s="109" t="s">
        <v>41</v>
      </c>
      <c r="L8" s="109" t="s">
        <v>41</v>
      </c>
      <c r="M8" s="229"/>
      <c r="N8" s="109">
        <f t="shared" si="1"/>
        <v>5</v>
      </c>
      <c r="O8" s="131" t="s">
        <v>19</v>
      </c>
      <c r="P8" s="130"/>
    </row>
    <row r="9" spans="3:16" x14ac:dyDescent="0.25">
      <c r="C9" s="215">
        <v>4</v>
      </c>
      <c r="D9" s="140" t="s">
        <v>108</v>
      </c>
      <c r="E9" s="140" t="s">
        <v>41</v>
      </c>
      <c r="F9" s="140" t="s">
        <v>41</v>
      </c>
      <c r="G9" s="140" t="s">
        <v>41</v>
      </c>
      <c r="H9" s="140" t="s">
        <v>41</v>
      </c>
      <c r="I9" s="232"/>
      <c r="J9" s="248" t="s">
        <v>171</v>
      </c>
      <c r="K9" s="140" t="s">
        <v>41</v>
      </c>
      <c r="L9" s="248" t="s">
        <v>171</v>
      </c>
      <c r="M9" s="229"/>
      <c r="N9" s="140">
        <f t="shared" si="1"/>
        <v>5</v>
      </c>
      <c r="O9" s="131" t="s">
        <v>20</v>
      </c>
      <c r="P9" s="130"/>
    </row>
    <row r="10" spans="3:16" x14ac:dyDescent="0.25">
      <c r="C10" s="133">
        <v>5</v>
      </c>
      <c r="D10" s="109" t="s">
        <v>113</v>
      </c>
      <c r="E10" s="109" t="s">
        <v>41</v>
      </c>
      <c r="F10" s="109" t="s">
        <v>41</v>
      </c>
      <c r="G10" s="249" t="s">
        <v>173</v>
      </c>
      <c r="H10" s="109" t="s">
        <v>41</v>
      </c>
      <c r="I10" s="232"/>
      <c r="J10" s="109" t="s">
        <v>41</v>
      </c>
      <c r="K10" s="249" t="s">
        <v>173</v>
      </c>
      <c r="L10" s="109" t="s">
        <v>41</v>
      </c>
      <c r="M10" s="229"/>
      <c r="N10" s="109">
        <f t="shared" si="1"/>
        <v>5</v>
      </c>
      <c r="O10" s="131" t="s">
        <v>22</v>
      </c>
      <c r="P10" s="130"/>
    </row>
    <row r="11" spans="3:16" x14ac:dyDescent="0.25">
      <c r="C11" s="215">
        <v>6</v>
      </c>
      <c r="D11" s="140" t="s">
        <v>115</v>
      </c>
      <c r="E11" s="248" t="s">
        <v>171</v>
      </c>
      <c r="F11" s="140" t="s">
        <v>41</v>
      </c>
      <c r="G11" s="249" t="s">
        <v>173</v>
      </c>
      <c r="H11" s="140" t="s">
        <v>41</v>
      </c>
      <c r="I11" s="233"/>
      <c r="J11" s="140" t="s">
        <v>41</v>
      </c>
      <c r="K11" s="140" t="s">
        <v>41</v>
      </c>
      <c r="L11" s="248" t="s">
        <v>171</v>
      </c>
      <c r="M11" s="230"/>
      <c r="N11" s="140">
        <f t="shared" si="1"/>
        <v>4</v>
      </c>
      <c r="O11" s="131" t="s">
        <v>23</v>
      </c>
      <c r="P11" s="130"/>
    </row>
    <row r="12" spans="3:16" ht="15" customHeight="1" x14ac:dyDescent="0.25">
      <c r="C12" s="227" t="s">
        <v>124</v>
      </c>
      <c r="D12" s="227"/>
      <c r="E12" s="174" t="s">
        <v>160</v>
      </c>
      <c r="F12" s="174" t="s">
        <v>167</v>
      </c>
      <c r="G12" s="174" t="s">
        <v>170</v>
      </c>
      <c r="H12" s="174" t="s">
        <v>158</v>
      </c>
      <c r="I12" s="174" t="s">
        <v>148</v>
      </c>
      <c r="J12" s="174" t="s">
        <v>168</v>
      </c>
      <c r="K12" s="174" t="s">
        <v>169</v>
      </c>
      <c r="L12" s="174" t="s">
        <v>159</v>
      </c>
      <c r="M12" s="174"/>
      <c r="N12" s="140">
        <f>SUM(N6:N11)</f>
        <v>28</v>
      </c>
      <c r="O12" s="131" t="s">
        <v>22</v>
      </c>
      <c r="P12" s="130"/>
    </row>
    <row r="14" spans="3:16" ht="15.75" thickBot="1" x14ac:dyDescent="0.3"/>
    <row r="15" spans="3:16" ht="30.75" thickBot="1" x14ac:dyDescent="0.3">
      <c r="C15" s="14"/>
      <c r="D15" s="15" t="s">
        <v>25</v>
      </c>
      <c r="E15" s="16" t="s">
        <v>65</v>
      </c>
      <c r="F15" s="175" t="s">
        <v>105</v>
      </c>
      <c r="G15" s="17" t="s">
        <v>56</v>
      </c>
      <c r="H15" s="186" t="s">
        <v>105</v>
      </c>
      <c r="I15" s="137" t="s">
        <v>30</v>
      </c>
      <c r="J15" s="137" t="s">
        <v>105</v>
      </c>
      <c r="K15" s="19" t="s">
        <v>31</v>
      </c>
      <c r="L15" s="20" t="s">
        <v>32</v>
      </c>
    </row>
    <row r="16" spans="3:16" x14ac:dyDescent="0.25">
      <c r="C16" s="22">
        <v>43030</v>
      </c>
      <c r="D16" s="150">
        <v>0.5625</v>
      </c>
      <c r="E16" s="24" t="s">
        <v>1</v>
      </c>
      <c r="F16" s="176"/>
      <c r="G16" s="155" t="s">
        <v>123</v>
      </c>
      <c r="H16" s="176"/>
      <c r="I16" s="34" t="s">
        <v>5</v>
      </c>
      <c r="J16" s="34" t="s">
        <v>5</v>
      </c>
      <c r="K16" s="138"/>
      <c r="L16" s="156"/>
    </row>
    <row r="17" spans="3:12" x14ac:dyDescent="0.25">
      <c r="C17" s="37">
        <v>43030</v>
      </c>
      <c r="D17" s="151">
        <v>0.58333333333333337</v>
      </c>
      <c r="E17" s="32" t="s">
        <v>5</v>
      </c>
      <c r="F17" s="177"/>
      <c r="G17" s="157" t="s">
        <v>1</v>
      </c>
      <c r="H17" s="177"/>
      <c r="I17" s="34" t="s">
        <v>123</v>
      </c>
      <c r="J17" s="34" t="s">
        <v>123</v>
      </c>
      <c r="K17" s="159"/>
      <c r="L17" s="160"/>
    </row>
    <row r="18" spans="3:12" x14ac:dyDescent="0.25">
      <c r="C18" s="37">
        <v>43030</v>
      </c>
      <c r="D18" s="151">
        <v>0.60416666666666663</v>
      </c>
      <c r="E18" s="32" t="s">
        <v>157</v>
      </c>
      <c r="F18" s="177"/>
      <c r="G18" s="157" t="s">
        <v>123</v>
      </c>
      <c r="H18" s="177"/>
      <c r="I18" s="34" t="s">
        <v>5</v>
      </c>
      <c r="J18" s="34" t="s">
        <v>5</v>
      </c>
      <c r="K18" s="159"/>
      <c r="L18" s="160"/>
    </row>
    <row r="19" spans="3:12" x14ac:dyDescent="0.25">
      <c r="C19" s="37">
        <v>43030</v>
      </c>
      <c r="D19" s="151">
        <v>0.625</v>
      </c>
      <c r="E19" s="32" t="s">
        <v>157</v>
      </c>
      <c r="F19" s="177"/>
      <c r="G19" s="157" t="s">
        <v>5</v>
      </c>
      <c r="H19" s="177"/>
      <c r="I19" s="34" t="s">
        <v>1</v>
      </c>
      <c r="J19" s="34" t="s">
        <v>1</v>
      </c>
      <c r="K19" s="159"/>
      <c r="L19" s="160"/>
    </row>
    <row r="20" spans="3:12" x14ac:dyDescent="0.25">
      <c r="C20" s="37">
        <v>43030</v>
      </c>
      <c r="D20" s="152">
        <v>0.64583333333333337</v>
      </c>
      <c r="E20" s="39" t="s">
        <v>1</v>
      </c>
      <c r="F20" s="177"/>
      <c r="G20" s="98" t="s">
        <v>5</v>
      </c>
      <c r="H20" s="177"/>
      <c r="I20" s="41" t="s">
        <v>123</v>
      </c>
      <c r="J20" s="34" t="s">
        <v>123</v>
      </c>
      <c r="K20" s="161"/>
      <c r="L20" s="162"/>
    </row>
    <row r="21" spans="3:12" ht="15.75" thickBot="1" x14ac:dyDescent="0.3">
      <c r="C21" s="44">
        <v>43030</v>
      </c>
      <c r="D21" s="153">
        <v>0.66666666666666663</v>
      </c>
      <c r="E21" s="46" t="s">
        <v>123</v>
      </c>
      <c r="F21" s="163"/>
      <c r="G21" s="164" t="s">
        <v>157</v>
      </c>
      <c r="H21" s="180"/>
      <c r="I21" s="48" t="s">
        <v>1</v>
      </c>
      <c r="J21" s="48" t="s">
        <v>1</v>
      </c>
      <c r="K21" s="165"/>
      <c r="L21" s="166"/>
    </row>
  </sheetData>
  <mergeCells count="4">
    <mergeCell ref="C3:N3"/>
    <mergeCell ref="I6:I11"/>
    <mergeCell ref="M6:M11"/>
    <mergeCell ref="C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Quick Calendar</vt:lpstr>
      <vt:lpstr>Table</vt:lpstr>
      <vt:lpstr>Winter 2017-18</vt:lpstr>
      <vt:lpstr>Sheet1</vt:lpstr>
      <vt:lpstr>Sheet2</vt:lpstr>
      <vt:lpstr>Standings</vt:lpstr>
      <vt:lpstr>New Scoresheet</vt:lpstr>
      <vt:lpstr>13 Nov Comp</vt:lpstr>
      <vt:lpstr>Sheet3</vt:lpstr>
    </vt:vector>
  </TitlesOfParts>
  <Company>Express 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Pryor</dc:creator>
  <cp:lastModifiedBy>Harvey Pryor</cp:lastModifiedBy>
  <cp:lastPrinted>2017-02-26T23:03:12Z</cp:lastPrinted>
  <dcterms:created xsi:type="dcterms:W3CDTF">2012-08-09T09:40:38Z</dcterms:created>
  <dcterms:modified xsi:type="dcterms:W3CDTF">2017-10-16T16:50:16Z</dcterms:modified>
</cp:coreProperties>
</file>